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17261CD8-F547-44BE-914D-2CB9B33EF3C5}" xr6:coauthVersionLast="47" xr6:coauthVersionMax="47" xr10:uidLastSave="{00000000-0000-0000-0000-000000000000}"/>
  <bookViews>
    <workbookView xWindow="390" yWindow="390" windowWidth="21600" windowHeight="13185" activeTab="1" xr2:uid="{00000000-000D-0000-FFFF-FFFF00000000}"/>
  </bookViews>
  <sheets>
    <sheet name="Sheet1" sheetId="1" r:id="rId1"/>
    <sheet name="Sheet2" sheetId="2" r:id="rId2"/>
  </sheets>
  <definedNames>
    <definedName name="allowance">Sheet1!$F$35</definedName>
    <definedName name="avg_int">Sheet2!$C$20</definedName>
    <definedName name="defer">Sheet1!$F$32</definedName>
    <definedName name="mrate">Sheet1!$H$15</definedName>
    <definedName name="normal">Sheet2!$H$19</definedName>
    <definedName name="off_incr">Sheet2!$K$6</definedName>
    <definedName name="offset">Sheet2!$H$18</definedName>
    <definedName name="rate">Sheet1!$F$36</definedName>
    <definedName name="Sale_price">Sheet2!$A$4</definedName>
    <definedName name="state">Sheet1!$F$31</definedName>
    <definedName name="vanilla">Sheet2!$K$8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7" i="2" l="1"/>
  <c r="L117" i="2"/>
  <c r="K117" i="2"/>
  <c r="I117" i="2"/>
  <c r="H117" i="2"/>
  <c r="F117" i="2"/>
  <c r="G117" i="2"/>
  <c r="C21" i="2"/>
  <c r="D21" i="2" s="1"/>
  <c r="D25" i="2" s="1"/>
  <c r="C20" i="2"/>
  <c r="F36" i="2" s="1"/>
  <c r="D15" i="2"/>
  <c r="G20" i="2"/>
  <c r="H19" i="2"/>
  <c r="G22" i="2" s="1"/>
  <c r="H22" i="2" s="1"/>
  <c r="H18" i="2"/>
  <c r="G21" i="2" s="1"/>
  <c r="K8" i="2"/>
  <c r="H37" i="2" s="1" a="1"/>
  <c r="H37" i="2" s="1"/>
  <c r="G37" i="2" s="1"/>
  <c r="G38" i="2" s="1"/>
  <c r="D13" i="2"/>
  <c r="A17" i="2" s="1"/>
  <c r="C17" i="2" s="1"/>
  <c r="A110" i="2" l="1"/>
  <c r="A111" i="2"/>
  <c r="H33" i="2"/>
  <c r="G33" i="2"/>
  <c r="D22" i="2"/>
  <c r="D23" i="2" s="1"/>
  <c r="C25" i="2"/>
  <c r="A25" i="2"/>
  <c r="C22" i="2"/>
  <c r="A22" i="2"/>
  <c r="H35" i="2" a="1"/>
  <c r="H35" i="2" s="1"/>
  <c r="G35" i="2" s="1"/>
  <c r="G36" i="2" s="1"/>
  <c r="G25" i="2"/>
  <c r="H25" i="2" s="1"/>
  <c r="H31" i="2"/>
  <c r="G24" i="2"/>
  <c r="H24" i="2" s="1"/>
  <c r="G29" i="2"/>
  <c r="H29" i="2"/>
  <c r="G31" i="2"/>
  <c r="J34" i="2" s="1"/>
  <c r="K34" i="2" s="1"/>
  <c r="L34" i="2" s="1"/>
  <c r="G23" i="2"/>
  <c r="H21" i="2"/>
  <c r="C6" i="2"/>
  <c r="A49" i="2"/>
  <c r="A48" i="2"/>
  <c r="J33" i="2" l="1"/>
  <c r="D24" i="2"/>
  <c r="K33" i="2" s="1"/>
  <c r="L33" i="2" s="1"/>
  <c r="A24" i="2"/>
  <c r="J30" i="2" s="1"/>
  <c r="K30" i="2" s="1"/>
  <c r="L30" i="2" s="1"/>
  <c r="A23" i="2"/>
  <c r="J29" i="2" s="1"/>
  <c r="C23" i="2"/>
  <c r="J31" i="2" s="1"/>
  <c r="K31" i="2" s="1"/>
  <c r="L31" i="2" s="1"/>
  <c r="C24" i="2"/>
  <c r="J32" i="2" s="1"/>
  <c r="K32" i="2" s="1"/>
  <c r="L32" i="2" s="1"/>
  <c r="G26" i="2"/>
  <c r="A85" i="2"/>
  <c r="A88" i="2"/>
  <c r="A78" i="2"/>
  <c r="A77" i="2" s="1"/>
  <c r="A75" i="2"/>
  <c r="A69" i="2"/>
  <c r="A68" i="2"/>
  <c r="A67" i="2"/>
  <c r="A59" i="2"/>
  <c r="A64" i="2"/>
  <c r="A46" i="2"/>
  <c r="K29" i="2" l="1"/>
  <c r="L29" i="2" s="1"/>
  <c r="J36" i="2"/>
  <c r="K36" i="2" s="1"/>
  <c r="L36" i="2" s="1"/>
  <c r="J35" i="2"/>
  <c r="K35" i="2" s="1"/>
  <c r="L35" i="2" s="1"/>
  <c r="A70" i="2"/>
  <c r="A79" i="2" s="1"/>
  <c r="A80" i="2"/>
  <c r="A81" i="2" l="1"/>
  <c r="A47" i="2"/>
  <c r="A50" i="2" s="1"/>
  <c r="A15" i="2" l="1"/>
  <c r="C13" i="2" l="1"/>
  <c r="A16" i="2" l="1"/>
  <c r="C18" i="2" s="1"/>
  <c r="D18" i="2" s="1"/>
  <c r="E16" i="1"/>
  <c r="C6" i="1"/>
  <c r="E7" i="1"/>
  <c r="C50" i="1"/>
  <c r="B45" i="1"/>
  <c r="B46" i="1" s="1"/>
  <c r="A58" i="2" s="1"/>
  <c r="A84" i="2" s="1"/>
  <c r="E24" i="1"/>
  <c r="E6" i="1"/>
  <c r="C9" i="1"/>
  <c r="G12" i="1"/>
  <c r="E12" i="1" s="1"/>
  <c r="C11" i="1"/>
  <c r="A18" i="2" l="1"/>
  <c r="C32" i="1"/>
  <c r="C31" i="1"/>
  <c r="A82" i="2" s="1"/>
  <c r="C27" i="1"/>
  <c r="C12" i="1"/>
  <c r="J15" i="1"/>
  <c r="J14" i="1"/>
  <c r="C4" i="1"/>
  <c r="A45" i="2" l="1"/>
  <c r="A51" i="2" s="1"/>
  <c r="A19" i="2"/>
  <c r="A63" i="2"/>
  <c r="A65" i="2" s="1"/>
  <c r="J18" i="1"/>
  <c r="C33" i="1"/>
  <c r="C7" i="1" l="1"/>
  <c r="E19" i="1" s="1"/>
  <c r="F19" i="1" s="1"/>
  <c r="C15" i="1" l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3" i="2"/>
  <c r="A86" i="2" s="1"/>
  <c r="A89" i="2" s="1"/>
  <c r="B29" i="1"/>
  <c r="B16" i="1"/>
  <c r="B38" i="1" l="1"/>
  <c r="B18" i="1"/>
  <c r="B19" i="1" s="1"/>
  <c r="B2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<sst xmlns="http://schemas.openxmlformats.org/spreadsheetml/2006/main" count="236" uniqueCount="181">
  <si>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</si>
  <si>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</si>
  <si>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</si>
  <si>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</si>
  <si>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</si>
  <si>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</si>
  <si>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</si>
  <si>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</si>
  <si>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</si>
  <si>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</si>
  <si>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</si>
  <si>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</si>
  <si>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</si>
  <si>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</si>
  <si>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</si>
  <si>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</si>
  <si>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</si>
  <si>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</si>
  <si>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</si>
  <si>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</si>
  <si>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</si>
  <si>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</si>
  <si>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</si>
  <si>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</si>
  <si>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</si>
  <si>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</si>
  <si>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</si>
  <si>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</si>
  <si>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</si>
  <si>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</si>
  <si>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</si>
  <si>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</si>
  <si>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</si>
  <si>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</si>
  <si>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</si>
  <si>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</si>
  <si>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</si>
  <si>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</si>
  <si>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</si>
  <si>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</si>
  <si>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</si>
  <si>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</si>
  <si>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</si>
  <si>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</si>
  <si>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</si>
  <si>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</si>
  <si>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</si>
  <si>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</si>
  <si>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</si>
  <si>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</si>
  <si>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</si>
  <si>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</si>
  <si>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</si>
  <si>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</si>
  <si>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</si>
  <si>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</si>
  <si>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</si>
  <si>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</si>
  <si>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</si>
  <si>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</si>
  <si>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</si>
  <si>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</si>
  <si>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</si>
  <si>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</si>
  <si>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</si>
  <si>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</si>
  <si>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</si>
  <si>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</si>
  <si>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</si>
  <si>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</si>
  <si>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</si>
  <si>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</si>
  <si>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</si>
  <si>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</si>
  <si>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</si>
  <si>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</si>
  <si>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</si>
  <si>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</si>
  <si>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</si>
  <si>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</si>
  <si>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</si>
  <si>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</si>
  <si>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</si>
  <si>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</si>
  <si>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</si>
  <si>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</si>
  <si>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</si>
  <si>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</si>
  <si>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</si>
  <si>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</si>
  <si>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</si>
  <si>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</si>
  <si>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</si>
  <si>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</si>
  <si>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</si>
  <si>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</si>
  <si>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</si>
  <si>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</si>
  <si>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</si>
  <si>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</si>
  <si>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</si>
  <si>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</si>
  <si>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</si>
  <si>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</si>
  <si>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</si>
  <si>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</si>
  <si>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</si>
  <si>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</si>
  <si>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</si>
  <si>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</si>
  <si>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</si>
  <si>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</si>
  <si>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</si>
  <si>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</si>
  <si>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</si>
  <si>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</si>
  <si>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</si>
  <si>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</si>
  <si>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</si>
  <si>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</si>
  <si>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</si>
  <si>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</si>
  <si>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</si>
  <si>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</si>
  <si>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</si>
  <si>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</si>
  <si>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</si>
  <si>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</si>
  <si>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</si>
  <si>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</si>
  <si>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</si>
  <si>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</si>
  <si>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Disposition?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</si>
  <si>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</si>
  <si>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</si>
  <si>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</si>
  <si>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</si>
  <si>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</si>
  <si>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</si>
  <si>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</si>
  <si>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</si>
  <si>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</si>
  <si>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</si>
  <si>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</si>
  <si>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</si>
  <si>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</si>
  <si>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</si>
  <si>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</si>
  <si>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</si>
  <si>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</si>
  <si>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</si>
  <si>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</si>
  <si>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</si>
  <si>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</si>
  <si>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</si>
  <si>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</si>
  <si>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</si>
  <si>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</si>
  <si>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</si>
  <si>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</si>
  <si>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We liquidate 100,000, they give us 100,000+100000</t>
  </si>
  <si>
    <t>How the part+part would work</t>
  </si>
  <si>
    <t>We liquidate 150000 and buy the property</t>
  </si>
  <si>
    <t>Day 3…</t>
  </si>
  <si>
    <t>We draw down 33,000 over time to pay the cost of purchase</t>
  </si>
  <si>
    <t>Day 250</t>
  </si>
  <si>
    <t>We pay off the 33000 and 50000 of the principle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</si>
  <si>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</si>
  <si>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Variable rate interest-only rate</t>
  </si>
  <si>
    <t>Interest-only offset rate</t>
  </si>
  <si>
    <t>Single loans use BoE base, part&amp;part use HB base</t>
  </si>
  <si>
    <t>Option 1: A single interest-only loan</t>
  </si>
  <si>
    <t>Reserve</t>
  </si>
  <si>
    <t>Deposit</t>
  </si>
  <si>
    <t>Draw-down</t>
  </si>
  <si>
    <t>Year 1</t>
  </si>
  <si>
    <t>Loan pmt</t>
  </si>
  <si>
    <t>Reserve interest</t>
  </si>
  <si>
    <t>Total cost</t>
  </si>
  <si>
    <t>Interest</t>
  </si>
  <si>
    <t>Svgs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</si>
</sst>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3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Sheet2!D13</f>
        <v>163539.00000000003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-33539</v>
      </c>
      <c r="C7" s="3">
        <f>C6+E16</f>
        <v>130000.00000000003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>
        <f>E19</f>
        <v>580000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94286.699835994223</v>
      </c>
      <c r="C16" s="5">
        <f>F19</f>
        <v>8061.9999999999991</v>
      </c>
      <c r="D16" t="s">
        <v>32</v>
      </c>
      <c r="E16" s="5">
        <f>-Sheet2!C13</f>
        <v>-33539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178847.39983599423</v>
      </c>
      <c r="C18" s="10">
        <f>C13+C16+C17+12*Sheet2!A51</f>
        <v>100233.59999999999</v>
      </c>
      <c r="D18" t="s">
        <v>26</v>
      </c>
      <c r="E18" s="5">
        <f>E15+B7</f>
        <v>416461</v>
      </c>
      <c r="F18" s="5">
        <f>-12*PMT(mrate/12,years*12,E18)</f>
        <v>94286.699835994223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14903.949986332853</v>
      </c>
      <c r="C19" s="3">
        <f>C18/12</f>
        <v>8352.7999999999993</v>
      </c>
      <c r="E19" s="5">
        <f>E15+C7</f>
        <v>580000</v>
      </c>
      <c r="F19" s="5">
        <f>1.39%*E19</f>
        <v>8061.9999999999991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671.83333333333326</v>
      </c>
    </row>
    <row r="21" spans="1:10" x14ac:dyDescent="0.25">
      <c r="A21" t="s">
        <v>38</v>
      </c>
      <c r="B21" s="1">
        <f>B19-B20</f>
        <v>12103.949986332853</v>
      </c>
      <c r="C21" s="1">
        <f>C19-C20</f>
        <v>5552.7999999999993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8061.9999999999991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671.83333333333326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12779.051706332852</v>
      </c>
      <c r="C38" s="3">
        <f>C37+(C16+C17)/12</f>
        <v>6177.1183999999994</v>
      </c>
      <c r="H38" s="10">
        <f>C37+H24</f>
        <v>6260.4517333333324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31" t="s">
        <v>68</v>
      </c>
    </row>
    <row r="50" spans="1:4" x14ac:dyDescent="0.25">
      <c r="A50" t="s">
        <v>67</v>
      </c>
      <c r="C50">
        <f>C49</f>
        <v>10353.09</v>
      </c>
      <c r="D50" s="31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28"/>
  <sheetViews>
    <sheetView tabSelected="1" topLeftCell="A100" workbookViewId="0">
      <selection activeCell="K118" sqref="K118"/>
    </sheetView>
  </sheetViews>
  <sheetFormatPr defaultRowHeight="15.75" x14ac:dyDescent="0.25"/>
  <cols>
    <col min="1" max="1" width="10.875" bestFit="1" customWidth="1"/>
    <col min="2" max="2" width="10.75" bestFit="1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9" max="9" width="10.375" customWidth="1"/>
    <col min="10" max="10" width="9.875" bestFit="1" customWidth="1"/>
    <col min="11" max="11" width="10.625" customWidth="1"/>
    <col min="12" max="12" width="10.875" bestFit="1" customWidth="1"/>
  </cols>
  <sheetData>
    <row r="1" spans="1:14" ht="18.75" x14ac:dyDescent="0.3">
      <c r="A1" s="32" t="s">
        <v>120</v>
      </c>
      <c r="B1" s="32"/>
      <c r="C1" s="32"/>
      <c r="D1" s="32"/>
      <c r="E1" s="32"/>
      <c r="F1" s="32"/>
    </row>
    <row r="2" spans="1:14" x14ac:dyDescent="0.25">
      <c r="A2" s="33" t="s">
        <v>121</v>
      </c>
      <c r="B2" s="33"/>
      <c r="C2" s="33"/>
      <c r="D2" s="33"/>
      <c r="E2" s="33"/>
      <c r="F2" s="33"/>
    </row>
    <row r="3" spans="1:14" x14ac:dyDescent="0.25">
      <c r="A3" s="2" t="s">
        <v>73</v>
      </c>
      <c r="B3" s="12" t="s">
        <v>72</v>
      </c>
      <c r="C3" s="18"/>
      <c r="D3" s="2" t="s">
        <v>118</v>
      </c>
    </row>
    <row r="4" spans="1:14" x14ac:dyDescent="0.25">
      <c r="A4" s="11">
        <v>350000</v>
      </c>
      <c r="B4" s="13" t="s">
        <v>132</v>
      </c>
      <c r="C4" s="19">
        <v>480</v>
      </c>
      <c r="D4" s="11">
        <v>200000</v>
      </c>
      <c r="E4" s="11" t="s">
        <v>116</v>
      </c>
      <c r="G4" s="11"/>
      <c r="H4" s="11"/>
      <c r="I4" s="11"/>
      <c r="L4" s="11"/>
      <c r="M4" s="11"/>
    </row>
    <row r="5" spans="1:14" x14ac:dyDescent="0.25">
      <c r="A5" s="11"/>
      <c r="B5" s="13" t="s">
        <v>133</v>
      </c>
      <c r="C5" s="19">
        <v>60</v>
      </c>
      <c r="D5" s="11">
        <v>65028.95</v>
      </c>
      <c r="E5" t="s">
        <v>71</v>
      </c>
      <c r="F5" t="s">
        <v>122</v>
      </c>
      <c r="G5">
        <v>3901011738</v>
      </c>
      <c r="H5" s="4" t="s">
        <v>123</v>
      </c>
      <c r="I5" s="11"/>
      <c r="L5" s="11"/>
      <c r="M5" s="11"/>
    </row>
    <row r="6" spans="1:14" x14ac:dyDescent="0.25">
      <c r="A6" s="11"/>
      <c r="B6" s="13" t="s">
        <v>115</v>
      </c>
      <c r="C6" s="19">
        <f>8%*Sale_price</f>
        <v>28000</v>
      </c>
      <c r="D6" s="11">
        <v>2091.7399999999998</v>
      </c>
      <c r="E6" t="s">
        <v>70</v>
      </c>
      <c r="F6" t="s">
        <v>122</v>
      </c>
      <c r="G6">
        <v>3901011716</v>
      </c>
      <c r="H6" s="4" t="s">
        <v>123</v>
      </c>
      <c r="I6" s="11"/>
      <c r="J6" s="11" t="s">
        <v>146</v>
      </c>
      <c r="K6" s="6">
        <v>5.0000000000000001E-3</v>
      </c>
      <c r="L6" s="11"/>
      <c r="M6" s="11"/>
    </row>
    <row r="7" spans="1:14" x14ac:dyDescent="0.25">
      <c r="A7" s="11"/>
      <c r="B7" s="13" t="s">
        <v>129</v>
      </c>
      <c r="C7" s="19">
        <v>250</v>
      </c>
      <c r="D7" s="11">
        <v>22030.11</v>
      </c>
      <c r="E7" t="s">
        <v>124</v>
      </c>
      <c r="F7" t="s">
        <v>122</v>
      </c>
      <c r="G7" s="28">
        <v>923763564</v>
      </c>
      <c r="H7" t="s">
        <v>125</v>
      </c>
      <c r="I7" s="11"/>
      <c r="J7" s="11" t="s">
        <v>136</v>
      </c>
      <c r="K7" s="6">
        <v>8.5000000000000006E-3</v>
      </c>
      <c r="L7" s="11"/>
      <c r="M7" s="11"/>
    </row>
    <row r="8" spans="1:14" x14ac:dyDescent="0.25">
      <c r="A8" s="11"/>
      <c r="B8" s="13" t="s">
        <v>43</v>
      </c>
      <c r="C8" s="19">
        <v>30</v>
      </c>
      <c r="D8" s="11">
        <v>25709.38</v>
      </c>
      <c r="E8" t="s">
        <v>126</v>
      </c>
      <c r="F8" t="s">
        <v>122</v>
      </c>
      <c r="G8" s="30">
        <v>20689470</v>
      </c>
      <c r="H8" s="4" t="s">
        <v>127</v>
      </c>
      <c r="I8" s="11"/>
      <c r="J8" s="11" t="s">
        <v>137</v>
      </c>
      <c r="K8" s="6">
        <f>E110+K7</f>
        <v>4.8500000000000001E-2</v>
      </c>
      <c r="L8" s="11" t="s">
        <v>145</v>
      </c>
      <c r="M8" s="11"/>
    </row>
    <row r="9" spans="1:14" x14ac:dyDescent="0.25">
      <c r="A9" s="11"/>
      <c r="B9" s="13" t="s">
        <v>89</v>
      </c>
      <c r="C9" s="25">
        <v>1499</v>
      </c>
      <c r="D9" s="11">
        <v>37550.870000000003</v>
      </c>
      <c r="E9" t="s">
        <v>128</v>
      </c>
      <c r="F9" t="s">
        <v>122</v>
      </c>
      <c r="G9" s="30">
        <v>20689489</v>
      </c>
      <c r="H9" s="4" t="s">
        <v>127</v>
      </c>
      <c r="I9" s="11"/>
      <c r="J9" s="11" t="s">
        <v>170</v>
      </c>
      <c r="K9" s="6"/>
      <c r="L9" s="11"/>
      <c r="M9" s="11"/>
    </row>
    <row r="10" spans="1:14" x14ac:dyDescent="0.25">
      <c r="A10" s="11"/>
      <c r="B10" s="13" t="s">
        <v>90</v>
      </c>
      <c r="C10" s="25">
        <v>20</v>
      </c>
      <c r="D10" s="11">
        <v>11127.95</v>
      </c>
      <c r="E10" t="s">
        <v>128</v>
      </c>
      <c r="F10" t="s">
        <v>118</v>
      </c>
      <c r="G10" s="28">
        <v>22246088</v>
      </c>
      <c r="H10" s="4" t="s">
        <v>127</v>
      </c>
      <c r="I10" s="11"/>
    </row>
    <row r="11" spans="1:14" x14ac:dyDescent="0.25">
      <c r="A11" s="11"/>
      <c r="B11" s="13" t="s">
        <v>130</v>
      </c>
      <c r="C11" s="25">
        <v>700</v>
      </c>
      <c r="D11" s="11"/>
      <c r="E11" s="6"/>
      <c r="F11" s="11"/>
      <c r="G11" s="11"/>
      <c r="H11" s="11"/>
      <c r="I11" s="11"/>
      <c r="N11" t="s">
        <v>142</v>
      </c>
    </row>
    <row r="12" spans="1:14" ht="16.5" thickBot="1" x14ac:dyDescent="0.3">
      <c r="A12" s="11"/>
      <c r="B12" s="14" t="s">
        <v>131</v>
      </c>
      <c r="C12" s="15">
        <v>2500</v>
      </c>
      <c r="D12" s="20">
        <v>0</v>
      </c>
      <c r="E12" s="21" t="s">
        <v>75</v>
      </c>
      <c r="F12" s="11"/>
      <c r="G12" s="11"/>
      <c r="H12" s="11"/>
      <c r="I12" s="11"/>
      <c r="N12" t="s">
        <v>143</v>
      </c>
    </row>
    <row r="13" spans="1:14" x14ac:dyDescent="0.25">
      <c r="A13" s="11"/>
      <c r="B13" s="16" t="s">
        <v>74</v>
      </c>
      <c r="C13" s="17">
        <f>SUM(C4:C12)</f>
        <v>33539</v>
      </c>
      <c r="D13" s="22">
        <f>SUM(D5:D12)</f>
        <v>163539.00000000003</v>
      </c>
      <c r="E13" s="2" t="s">
        <v>74</v>
      </c>
      <c r="F13" s="11"/>
      <c r="G13" s="11"/>
      <c r="H13" s="11"/>
      <c r="I13" s="11"/>
    </row>
    <row r="14" spans="1:14" x14ac:dyDescent="0.25">
      <c r="A14" s="11"/>
      <c r="B14" s="11"/>
      <c r="C14" s="11"/>
      <c r="D14" s="3"/>
      <c r="E14" s="11"/>
      <c r="F14" s="11"/>
      <c r="G14" s="11"/>
      <c r="H14" s="11"/>
      <c r="I14" s="11"/>
    </row>
    <row r="15" spans="1:14" x14ac:dyDescent="0.25">
      <c r="A15" s="11">
        <f>-Sale_price</f>
        <v>-350000</v>
      </c>
      <c r="B15" s="11" t="s">
        <v>76</v>
      </c>
      <c r="C15" s="11"/>
      <c r="D15" s="11">
        <f>32787.64-D6</f>
        <v>30695.9</v>
      </c>
      <c r="E15" t="s">
        <v>70</v>
      </c>
      <c r="F15" t="s">
        <v>122</v>
      </c>
      <c r="G15">
        <v>3901011716</v>
      </c>
      <c r="H15" s="4" t="s">
        <v>123</v>
      </c>
      <c r="I15" s="11"/>
    </row>
    <row r="16" spans="1:14" ht="15.75" customHeight="1" x14ac:dyDescent="0.25">
      <c r="A16" s="11">
        <f>-C13</f>
        <v>-33539</v>
      </c>
      <c r="B16" s="11" t="s">
        <v>79</v>
      </c>
      <c r="C16" s="11"/>
      <c r="D16" s="11"/>
      <c r="F16" s="11"/>
      <c r="G16" s="11"/>
      <c r="H16" s="11"/>
      <c r="I16" s="11"/>
    </row>
    <row r="17" spans="1:13" ht="16.5" customHeight="1" thickBot="1" x14ac:dyDescent="0.3">
      <c r="A17" s="20">
        <f>D13</f>
        <v>163539.00000000003</v>
      </c>
      <c r="B17" s="20" t="s">
        <v>77</v>
      </c>
      <c r="C17" s="11">
        <f>A17+20000</f>
        <v>183539.00000000003</v>
      </c>
      <c r="D17" s="11">
        <v>283539</v>
      </c>
      <c r="E17" s="2" t="s">
        <v>139</v>
      </c>
      <c r="G17" s="11"/>
      <c r="H17" s="11"/>
      <c r="I17" s="11"/>
    </row>
    <row r="18" spans="1:13" x14ac:dyDescent="0.25">
      <c r="A18" s="22">
        <f>SUM(A15:A17)</f>
        <v>-219999.99999999997</v>
      </c>
      <c r="B18" s="22" t="s">
        <v>78</v>
      </c>
      <c r="C18" s="11">
        <f>A15+A16+C17</f>
        <v>-199999.99999999997</v>
      </c>
      <c r="D18" s="11">
        <f>C18/2</f>
        <v>-99999.999999999985</v>
      </c>
      <c r="E18" s="11" t="s">
        <v>138</v>
      </c>
      <c r="F18">
        <v>100000</v>
      </c>
      <c r="G18" s="11">
        <v>485</v>
      </c>
      <c r="H18" s="6">
        <f>(G18/31)*365/F18</f>
        <v>5.7104838709677412E-2</v>
      </c>
      <c r="I18" s="11"/>
    </row>
    <row r="19" spans="1:13" ht="16.5" thickBot="1" x14ac:dyDescent="0.3">
      <c r="A19" s="23">
        <f>-A18/1000000</f>
        <v>0.21999999999999997</v>
      </c>
      <c r="B19" s="11" t="s">
        <v>140</v>
      </c>
      <c r="C19" s="11"/>
      <c r="D19" s="11"/>
      <c r="E19" s="11" t="s">
        <v>141</v>
      </c>
      <c r="F19">
        <v>120000</v>
      </c>
      <c r="G19" s="11">
        <v>531</v>
      </c>
      <c r="H19" s="6">
        <f>(G19/31)*365/F19</f>
        <v>5.2100806451612899E-2</v>
      </c>
      <c r="I19" s="11"/>
    </row>
    <row r="20" spans="1:13" x14ac:dyDescent="0.25">
      <c r="A20" s="6"/>
      <c r="B20" s="11" t="s">
        <v>147</v>
      </c>
      <c r="C20" s="6">
        <f>3%</f>
        <v>0.03</v>
      </c>
      <c r="D20" s="11"/>
      <c r="E20" s="11"/>
      <c r="F20" s="11"/>
      <c r="G20" s="11">
        <f>SUM(G18:G19)</f>
        <v>1016</v>
      </c>
      <c r="H20" s="11"/>
      <c r="I20" s="11"/>
    </row>
    <row r="21" spans="1:13" x14ac:dyDescent="0.25">
      <c r="A21" s="6"/>
      <c r="B21" s="11" t="s">
        <v>153</v>
      </c>
      <c r="C21" s="11">
        <f>83000</f>
        <v>83000</v>
      </c>
      <c r="D21" s="11">
        <f>C21</f>
        <v>83000</v>
      </c>
      <c r="E21" s="11"/>
      <c r="F21">
        <v>100000</v>
      </c>
      <c r="G21" s="11">
        <f>F21*offset*31/365</f>
        <v>485</v>
      </c>
      <c r="H21" s="6">
        <f>(G21/31)*365/F21</f>
        <v>5.7104838709677412E-2</v>
      </c>
      <c r="I21" s="11"/>
    </row>
    <row r="22" spans="1:13" x14ac:dyDescent="0.25">
      <c r="A22" s="11">
        <f>A17*(avg_int/12)</f>
        <v>408.84750000000008</v>
      </c>
      <c r="B22" s="11" t="s">
        <v>148</v>
      </c>
      <c r="C22" s="11">
        <f>C17*(avg_int/12)</f>
        <v>458.84750000000008</v>
      </c>
      <c r="D22" s="11">
        <f>D17*(avg_int/12)</f>
        <v>708.84749999999997</v>
      </c>
      <c r="E22" s="11"/>
      <c r="F22">
        <v>100000</v>
      </c>
      <c r="G22" s="11">
        <f>F22*normal*31/365</f>
        <v>442.49999999999994</v>
      </c>
      <c r="H22" s="6">
        <f>(G22/31)*365/F22</f>
        <v>5.2100806451612899E-2</v>
      </c>
      <c r="I22" s="11"/>
    </row>
    <row r="23" spans="1:13" x14ac:dyDescent="0.25">
      <c r="A23" s="11">
        <f>A$22*12</f>
        <v>4906.170000000001</v>
      </c>
      <c r="B23" s="11" t="s">
        <v>150</v>
      </c>
      <c r="C23" s="11">
        <f>C$22*12</f>
        <v>5506.170000000001</v>
      </c>
      <c r="D23" s="11">
        <f>D$22*12</f>
        <v>8506.17</v>
      </c>
      <c r="E23" s="11"/>
      <c r="F23" s="11"/>
      <c r="G23" s="11">
        <f>SUM(G21:G22)</f>
        <v>927.5</v>
      </c>
      <c r="H23" s="11"/>
      <c r="I23" s="11"/>
    </row>
    <row r="24" spans="1:13" x14ac:dyDescent="0.25">
      <c r="A24" s="11">
        <f t="shared" ref="A24:D24" si="0">A$22*12</f>
        <v>4906.170000000001</v>
      </c>
      <c r="B24" s="11" t="s">
        <v>151</v>
      </c>
      <c r="C24" s="11">
        <f t="shared" si="0"/>
        <v>5506.170000000001</v>
      </c>
      <c r="D24" s="11">
        <f t="shared" si="0"/>
        <v>8506.17</v>
      </c>
      <c r="E24" s="11"/>
      <c r="F24">
        <v>50000</v>
      </c>
      <c r="G24" s="11">
        <f>F24*offset*31/365</f>
        <v>242.5</v>
      </c>
      <c r="H24" s="6">
        <f>(G24/31)*365/F24</f>
        <v>5.7104838709677412E-2</v>
      </c>
      <c r="I24" s="11"/>
    </row>
    <row r="25" spans="1:13" x14ac:dyDescent="0.25">
      <c r="A25" s="11">
        <f>(A17-C21)*(avg_int/12)*12</f>
        <v>2416.170000000001</v>
      </c>
      <c r="B25" s="11" t="s">
        <v>152</v>
      </c>
      <c r="C25" s="11">
        <f>(C17-C21)*(avg_int/12)*12</f>
        <v>3016.170000000001</v>
      </c>
      <c r="D25" s="11">
        <f>(D17-D21)*(avg_int/12)*12</f>
        <v>6016.17</v>
      </c>
      <c r="E25" s="11"/>
      <c r="F25">
        <v>150000</v>
      </c>
      <c r="G25" s="11">
        <f>F25*normal*31/365</f>
        <v>663.74999999999989</v>
      </c>
      <c r="H25" s="6">
        <f>(G25/31)*365/F25</f>
        <v>5.2100806451612892E-2</v>
      </c>
      <c r="I25" s="11"/>
    </row>
    <row r="26" spans="1:13" x14ac:dyDescent="0.25">
      <c r="A26" s="6"/>
      <c r="B26" s="11"/>
      <c r="C26" s="11"/>
      <c r="D26" s="11"/>
      <c r="E26" s="11"/>
      <c r="F26" s="11"/>
      <c r="G26" s="11">
        <f>SUM(G24:G25)</f>
        <v>906.24999999999989</v>
      </c>
      <c r="H26" s="11"/>
      <c r="I26" s="11"/>
    </row>
    <row r="27" spans="1:13" x14ac:dyDescent="0.25">
      <c r="A27" s="6"/>
      <c r="B27" s="11"/>
      <c r="C27" s="11"/>
      <c r="D27" s="11"/>
      <c r="E27" s="11"/>
      <c r="F27" s="11"/>
      <c r="G27" s="11"/>
      <c r="H27" s="11"/>
      <c r="I27" s="11"/>
    </row>
    <row r="28" spans="1:13" x14ac:dyDescent="0.25">
      <c r="A28" s="6"/>
      <c r="B28" s="11"/>
      <c r="C28" s="11"/>
      <c r="D28" s="11"/>
      <c r="E28" s="22" t="s">
        <v>144</v>
      </c>
      <c r="F28" s="11"/>
      <c r="G28" s="11"/>
      <c r="H28" s="11"/>
      <c r="I28" s="11"/>
      <c r="J28" t="s">
        <v>154</v>
      </c>
      <c r="K28" t="s">
        <v>155</v>
      </c>
    </row>
    <row r="29" spans="1:13" x14ac:dyDescent="0.25">
      <c r="A29" s="6"/>
      <c r="B29" s="11"/>
      <c r="C29" s="11"/>
      <c r="D29" s="11"/>
      <c r="E29" s="11" t="s">
        <v>143</v>
      </c>
      <c r="F29" s="11">
        <v>220000</v>
      </c>
      <c r="G29" s="11">
        <f>F29*vanilla*31/365</f>
        <v>906.21917808219177</v>
      </c>
      <c r="H29" s="6">
        <f>vanilla</f>
        <v>4.8500000000000001E-2</v>
      </c>
      <c r="I29" s="11"/>
      <c r="J29" s="11">
        <f>-(12*$G$29)-$A23</f>
        <v>-15780.800136986301</v>
      </c>
      <c r="K29" s="11">
        <f>J29-(12*$G$29)-$A24</f>
        <v>-31561.600273972606</v>
      </c>
      <c r="L29" s="11">
        <f>K29-$F$29</f>
        <v>-251561.60027397261</v>
      </c>
    </row>
    <row r="30" spans="1:13" x14ac:dyDescent="0.25">
      <c r="A30" s="6"/>
      <c r="B30" s="11"/>
      <c r="C30" s="11"/>
      <c r="D30" s="11"/>
      <c r="E30" s="11" t="s">
        <v>156</v>
      </c>
      <c r="F30" s="11"/>
      <c r="G30" s="11"/>
      <c r="H30" s="11"/>
      <c r="I30" s="11"/>
      <c r="J30" s="11">
        <f>-(12*$G$29)-$A24</f>
        <v>-15780.800136986301</v>
      </c>
      <c r="K30" s="11">
        <f>J30-(12*$G$29)-$A25</f>
        <v>-29071.600273972606</v>
      </c>
      <c r="L30" s="11">
        <f>K30-$F$29</f>
        <v>-249071.60027397261</v>
      </c>
      <c r="M30" s="11"/>
    </row>
    <row r="31" spans="1:13" x14ac:dyDescent="0.25">
      <c r="A31" s="6"/>
      <c r="B31" s="11"/>
      <c r="C31" s="11"/>
      <c r="D31" s="11"/>
      <c r="E31" s="11" t="s">
        <v>143</v>
      </c>
      <c r="F31" s="11">
        <v>200000</v>
      </c>
      <c r="G31" s="11">
        <f>F31*vanilla*31/365</f>
        <v>823.83561643835617</v>
      </c>
      <c r="H31" s="6">
        <f>vanilla</f>
        <v>4.8500000000000001E-2</v>
      </c>
      <c r="I31" s="11"/>
      <c r="J31" s="11">
        <f>-(12*$G$31)-$C23</f>
        <v>-15392.197397260275</v>
      </c>
      <c r="K31" s="11">
        <f>J31-(12*$G$31)-$A24</f>
        <v>-30184.394794520551</v>
      </c>
      <c r="L31" s="11">
        <f>K31-$F$31</f>
        <v>-230184.39479452054</v>
      </c>
      <c r="M31" s="11"/>
    </row>
    <row r="32" spans="1:13" x14ac:dyDescent="0.25">
      <c r="A32" s="6"/>
      <c r="B32" s="11"/>
      <c r="C32" s="11"/>
      <c r="D32" s="11"/>
      <c r="E32" s="11" t="s">
        <v>156</v>
      </c>
      <c r="F32" s="11"/>
      <c r="G32" s="11"/>
      <c r="H32" s="11"/>
      <c r="I32" s="11"/>
      <c r="J32" s="11">
        <f>-(12*$G$31)-$C24</f>
        <v>-15392.197397260275</v>
      </c>
      <c r="K32" s="11">
        <f>J32-(12*$G$31)-$A25</f>
        <v>-27694.394794520551</v>
      </c>
      <c r="L32" s="11">
        <f>K32-$F$31</f>
        <v>-227694.39479452054</v>
      </c>
      <c r="M32" s="11"/>
    </row>
    <row r="33" spans="1:13" x14ac:dyDescent="0.25">
      <c r="A33" s="6"/>
      <c r="B33" s="11"/>
      <c r="C33" s="11"/>
      <c r="D33" s="11"/>
      <c r="E33" s="11" t="s">
        <v>143</v>
      </c>
      <c r="F33" s="11">
        <v>100000</v>
      </c>
      <c r="G33" s="11">
        <f>F33*vanilla*31/365</f>
        <v>411.91780821917808</v>
      </c>
      <c r="H33" s="6">
        <f>vanilla</f>
        <v>4.8500000000000001E-2</v>
      </c>
      <c r="I33" s="11"/>
      <c r="J33" s="11">
        <f>-(12*$G$33)-$D23</f>
        <v>-13449.183698630137</v>
      </c>
      <c r="K33" s="11">
        <f>J33-(12*$G$33)-$D24</f>
        <v>-26898.36739726027</v>
      </c>
      <c r="L33" s="11">
        <f>K33-$F$33</f>
        <v>-126898.36739726027</v>
      </c>
      <c r="M33" s="11"/>
    </row>
    <row r="34" spans="1:13" x14ac:dyDescent="0.25">
      <c r="A34" s="6"/>
      <c r="B34" s="11"/>
      <c r="C34" s="11"/>
      <c r="D34" s="11"/>
      <c r="E34" s="11" t="s">
        <v>156</v>
      </c>
      <c r="F34" s="11"/>
      <c r="G34" s="11"/>
      <c r="H34" s="11"/>
      <c r="I34" s="11"/>
      <c r="J34" s="11">
        <f>-(12*$G$31)-$C26</f>
        <v>-9886.0273972602736</v>
      </c>
      <c r="K34" s="11">
        <f>J34-(12*$G$31)-$A27</f>
        <v>-19772.054794520547</v>
      </c>
      <c r="L34" s="11">
        <f>K34-$F$31</f>
        <v>-219772.05479452055</v>
      </c>
      <c r="M34" s="11"/>
    </row>
    <row r="35" spans="1:13" x14ac:dyDescent="0.25">
      <c r="A35" s="6"/>
      <c r="B35" s="11"/>
      <c r="C35" s="11"/>
      <c r="D35" s="11"/>
      <c r="E35" s="11" t="s">
        <v>149</v>
      </c>
      <c r="F35" s="11">
        <v>220000</v>
      </c>
      <c r="G35" s="11">
        <f>F35*H35*31/365</f>
        <v>999.64383561643831</v>
      </c>
      <c r="H35" s="6" cm="1">
        <f t="array" ref="H35">vanilla+off_incr</f>
        <v>5.3499999999999999E-2</v>
      </c>
      <c r="I35" s="11"/>
      <c r="J35" s="11">
        <f>-A$23-G35*12</f>
        <v>-16901.896027397263</v>
      </c>
      <c r="K35" s="11">
        <f>J35-((12*G35)+A$24)</f>
        <v>-33803.792054794525</v>
      </c>
      <c r="L35" s="11">
        <f>K35-F35</f>
        <v>-253803.79205479453</v>
      </c>
      <c r="M35" s="11"/>
    </row>
    <row r="36" spans="1:13" x14ac:dyDescent="0.25">
      <c r="A36" s="6"/>
      <c r="B36" s="11"/>
      <c r="C36" s="11"/>
      <c r="D36" s="11"/>
      <c r="E36" s="11" t="s">
        <v>157</v>
      </c>
      <c r="F36" s="11">
        <f>avg_int*F35/2</f>
        <v>3300</v>
      </c>
      <c r="G36" s="11">
        <f>G35/2</f>
        <v>499.82191780821915</v>
      </c>
      <c r="H36" s="11"/>
      <c r="I36" s="11"/>
      <c r="J36" s="11">
        <f>-A$23-F36-G36*12</f>
        <v>-14204.033013698632</v>
      </c>
      <c r="K36" s="11">
        <f>J36-F36-((12*G36)+A$24)</f>
        <v>-28408.066027397261</v>
      </c>
      <c r="L36" s="11">
        <f>K36-F35/2</f>
        <v>-138408.06602739726</v>
      </c>
      <c r="M36" s="11"/>
    </row>
    <row r="37" spans="1:13" x14ac:dyDescent="0.25">
      <c r="A37" s="6"/>
      <c r="B37" s="11"/>
      <c r="C37" s="11"/>
      <c r="D37" s="11"/>
      <c r="E37" s="11" t="s">
        <v>149</v>
      </c>
      <c r="F37" s="11">
        <v>200000</v>
      </c>
      <c r="G37" s="11">
        <f>F37*H37*31/365</f>
        <v>908.76712328767121</v>
      </c>
      <c r="H37" s="6" cm="1">
        <f t="array" ref="H37">vanilla+off_incr</f>
        <v>5.3499999999999999E-2</v>
      </c>
      <c r="I37" s="11"/>
      <c r="J37" s="11"/>
      <c r="K37" s="11"/>
      <c r="L37" s="11"/>
      <c r="M37" s="11"/>
    </row>
    <row r="38" spans="1:13" x14ac:dyDescent="0.25">
      <c r="A38" s="6"/>
      <c r="B38" s="11"/>
      <c r="C38" s="11"/>
      <c r="D38" s="11"/>
      <c r="E38" s="11" t="s">
        <v>157</v>
      </c>
      <c r="F38" s="11"/>
      <c r="G38" s="11">
        <f>G37/2</f>
        <v>454.38356164383561</v>
      </c>
      <c r="H38" s="11"/>
      <c r="I38" s="11"/>
      <c r="J38" s="11"/>
      <c r="K38" s="11"/>
      <c r="L38" s="11"/>
      <c r="M38" s="11"/>
    </row>
    <row r="39" spans="1:13" x14ac:dyDescent="0.25">
      <c r="A39" s="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5">
      <c r="A44" s="22" t="s">
        <v>60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5">
      <c r="A45" s="11">
        <f>A$18*B45/12</f>
        <v>-733.33333333333314</v>
      </c>
      <c r="B45" s="6">
        <v>0.04</v>
      </c>
      <c r="C45" s="11" t="s">
        <v>80</v>
      </c>
      <c r="D45" s="11"/>
      <c r="E45" s="11"/>
      <c r="F45" s="11"/>
      <c r="G45" s="11"/>
      <c r="H45" s="11"/>
      <c r="I45" s="11"/>
      <c r="J45" s="24"/>
      <c r="K45" s="11"/>
      <c r="L45" s="11"/>
      <c r="M45" s="11"/>
    </row>
    <row r="46" spans="1:13" x14ac:dyDescent="0.25">
      <c r="A46" s="11">
        <f>-B46/12</f>
        <v>-12.5</v>
      </c>
      <c r="B46" s="11">
        <v>150</v>
      </c>
      <c r="C46" s="11" t="s">
        <v>93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5">
      <c r="A47" s="11">
        <f>-B47*A48</f>
        <v>-110</v>
      </c>
      <c r="B47" s="11">
        <v>0.1</v>
      </c>
      <c r="C47" s="11" t="s">
        <v>92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11">
        <f>B48</f>
        <v>1100</v>
      </c>
      <c r="B48" s="11">
        <v>1100</v>
      </c>
      <c r="C48" s="11" t="s">
        <v>119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5">
      <c r="A49" s="11">
        <f>-B49/12</f>
        <v>-416.66666666666669</v>
      </c>
      <c r="B49" s="11">
        <v>5000</v>
      </c>
      <c r="C49" s="11" t="s">
        <v>117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ht="16.5" thickBot="1" x14ac:dyDescent="0.3">
      <c r="A50" s="20">
        <f>SUM(A46:A48)*-B50</f>
        <v>-195.5</v>
      </c>
      <c r="B50" s="23">
        <v>0.2</v>
      </c>
      <c r="C50" s="20" t="s">
        <v>81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5">
      <c r="A51" s="22">
        <f>SUM(A45:A50)</f>
        <v>-367.99999999999983</v>
      </c>
      <c r="B51" s="22" t="s">
        <v>97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5">
      <c r="A53" s="22" t="s">
        <v>82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 x14ac:dyDescent="0.25">
      <c r="A54" s="11">
        <v>26755.966666666664</v>
      </c>
      <c r="B54" s="11" t="s">
        <v>84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x14ac:dyDescent="0.25">
      <c r="A55" s="11">
        <v>30867.266666666666</v>
      </c>
      <c r="B55" s="11" t="s">
        <v>85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 x14ac:dyDescent="0.25">
      <c r="A56" s="11"/>
      <c r="B56" s="11"/>
      <c r="C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x14ac:dyDescent="0.25">
      <c r="A57" s="22" t="s">
        <v>86</v>
      </c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 x14ac:dyDescent="0.25">
      <c r="A58" s="11">
        <f>2*Sheet1!B46</f>
        <v>62127.54</v>
      </c>
      <c r="B58" s="11" t="s">
        <v>87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 x14ac:dyDescent="0.25">
      <c r="A59" s="11">
        <f>2*(Sheet1!B47-E59)</f>
        <v>19920</v>
      </c>
      <c r="C59" s="11" t="s">
        <v>91</v>
      </c>
      <c r="D59" s="11"/>
      <c r="E59" s="11">
        <v>1000</v>
      </c>
      <c r="F59" s="11"/>
      <c r="G59" s="11"/>
      <c r="H59" s="11"/>
      <c r="I59" s="11"/>
      <c r="J59" s="11"/>
      <c r="K59" s="11"/>
      <c r="L59" s="11"/>
      <c r="M59" s="11"/>
    </row>
    <row r="60" spans="1:13" x14ac:dyDescent="0.25">
      <c r="A60" s="11">
        <v>1170</v>
      </c>
      <c r="B60" s="11" t="s">
        <v>88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 x14ac:dyDescent="0.25">
      <c r="A62" s="11">
        <v>267304</v>
      </c>
      <c r="B62" s="11" t="s">
        <v>94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x14ac:dyDescent="0.25">
      <c r="A63" s="11">
        <f>A18+A62</f>
        <v>47304.000000000029</v>
      </c>
      <c r="B63" s="11" t="s">
        <v>95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6.5" thickBot="1" x14ac:dyDescent="0.3">
      <c r="A64" s="20">
        <f>2*B64</f>
        <v>0</v>
      </c>
      <c r="B64" s="20">
        <v>0</v>
      </c>
      <c r="C64" s="11" t="s">
        <v>96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x14ac:dyDescent="0.25">
      <c r="A65" s="22">
        <f>A63+A64</f>
        <v>47304.000000000029</v>
      </c>
      <c r="B65" s="22" t="s">
        <v>98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 x14ac:dyDescent="0.25">
      <c r="A66" s="22"/>
      <c r="B66" s="2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 x14ac:dyDescent="0.25">
      <c r="A67" s="11">
        <f>-A62</f>
        <v>-267304</v>
      </c>
      <c r="B67" s="11" t="s">
        <v>99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 x14ac:dyDescent="0.25">
      <c r="A68" s="11">
        <f>SUM(A54:A55)</f>
        <v>57623.23333333333</v>
      </c>
      <c r="B68" s="11" t="s">
        <v>100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 ht="16.5" thickBot="1" x14ac:dyDescent="0.3">
      <c r="A69" s="20" t="e">
        <f>#REF!</f>
        <v>#REF!</v>
      </c>
      <c r="B69" s="20" t="s">
        <v>83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x14ac:dyDescent="0.25">
      <c r="A70" s="22" t="e">
        <f>SUM(A67:A69)</f>
        <v>#REF!</v>
      </c>
      <c r="B70" s="22" t="s">
        <v>101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 x14ac:dyDescent="0.25">
      <c r="A71" s="22"/>
      <c r="B71" s="2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 x14ac:dyDescent="0.25">
      <c r="A72" s="11" t="s">
        <v>113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 x14ac:dyDescent="0.25">
      <c r="A74" s="22" t="s">
        <v>102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x14ac:dyDescent="0.25">
      <c r="A75" s="11">
        <f>-B75/12</f>
        <v>-12.5</v>
      </c>
      <c r="B75" s="11">
        <v>150</v>
      </c>
      <c r="C75" s="11" t="s">
        <v>93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 x14ac:dyDescent="0.25">
      <c r="A76" s="11">
        <v>-100</v>
      </c>
      <c r="B76" s="11"/>
      <c r="C76" s="11" t="s">
        <v>112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 x14ac:dyDescent="0.25">
      <c r="A77" s="11">
        <f>-B77*A78</f>
        <v>-125</v>
      </c>
      <c r="B77" s="6">
        <v>0.1</v>
      </c>
      <c r="C77" s="11" t="s">
        <v>92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x14ac:dyDescent="0.25">
      <c r="A78" s="11">
        <f>B78</f>
        <v>1250</v>
      </c>
      <c r="B78" s="11">
        <v>1250</v>
      </c>
      <c r="C78" s="11" t="s">
        <v>61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x14ac:dyDescent="0.25">
      <c r="A79" s="11" t="e">
        <f>A70*B79/12</f>
        <v>#REF!</v>
      </c>
      <c r="B79" s="6">
        <v>0.02</v>
      </c>
      <c r="C79" s="11" t="s">
        <v>103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 ht="16.5" thickBot="1" x14ac:dyDescent="0.3">
      <c r="A80" s="20">
        <f>SUM(A75:A78)*-B80</f>
        <v>-202.5</v>
      </c>
      <c r="B80" s="23">
        <v>0.2</v>
      </c>
      <c r="C80" s="20" t="s">
        <v>81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22" t="e">
        <f>SUM(A71:A80)</f>
        <v>#REF!</v>
      </c>
      <c r="B81" s="22" t="s">
        <v>104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>
        <f>SUM(Sheet1!C31:C32)/12</f>
        <v>1545.6584</v>
      </c>
      <c r="B82" s="11" t="s">
        <v>105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>
        <f>SUM(Sheet1!B31:B32)/12*(1-B80)</f>
        <v>4526.82672</v>
      </c>
      <c r="B83" s="11" t="s">
        <v>106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>
        <f>((2*(E59+24*250))+(A58-A64))*B84/12</f>
        <v>95.159424999999999</v>
      </c>
      <c r="B84" s="6">
        <v>1.4999999999999999E-2</v>
      </c>
      <c r="C84" s="11" t="s">
        <v>110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ht="16.5" thickBot="1" x14ac:dyDescent="0.3">
      <c r="A85" s="20">
        <f>(1-B80)*B85/12</f>
        <v>93.333333333333329</v>
      </c>
      <c r="B85" s="20">
        <v>1400</v>
      </c>
      <c r="C85" s="20" t="s">
        <v>111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22" t="e">
        <f>SUM(A81:A85)</f>
        <v>#REF!</v>
      </c>
      <c r="B86" s="22" t="s">
        <v>107</v>
      </c>
      <c r="C86" s="11"/>
      <c r="D86" s="11"/>
      <c r="E86" s="11"/>
      <c r="F86" s="11"/>
      <c r="G86" s="11"/>
      <c r="H86" s="11"/>
      <c r="J86" s="11"/>
      <c r="K86" s="11"/>
      <c r="L86" s="11"/>
      <c r="M86" s="11"/>
    </row>
    <row r="87" spans="1:13" x14ac:dyDescent="0.25">
      <c r="D87" s="11"/>
      <c r="E87" s="11"/>
    </row>
    <row r="88" spans="1:13" x14ac:dyDescent="0.25">
      <c r="A88">
        <f>(1789.7+2545.04+2336.51+1440.99)</f>
        <v>8112.24</v>
      </c>
      <c r="B88" t="s">
        <v>108</v>
      </c>
      <c r="D88" s="11"/>
      <c r="E88" s="11"/>
    </row>
    <row r="89" spans="1:13" x14ac:dyDescent="0.25">
      <c r="A89" s="11" t="e">
        <f>A86-A88</f>
        <v>#REF!</v>
      </c>
      <c r="B89" t="s">
        <v>109</v>
      </c>
    </row>
    <row r="93" spans="1:13" x14ac:dyDescent="0.25">
      <c r="A93" t="s">
        <v>71</v>
      </c>
      <c r="B93" t="s">
        <v>122</v>
      </c>
      <c r="C93">
        <v>3901011738</v>
      </c>
      <c r="D93" s="4" t="s">
        <v>123</v>
      </c>
      <c r="E93" s="27">
        <v>65028.95</v>
      </c>
    </row>
    <row r="94" spans="1:13" x14ac:dyDescent="0.25">
      <c r="A94" t="s">
        <v>70</v>
      </c>
      <c r="B94" t="s">
        <v>122</v>
      </c>
      <c r="C94">
        <v>3901011716</v>
      </c>
      <c r="D94" s="4" t="s">
        <v>123</v>
      </c>
      <c r="E94" s="27">
        <v>32787.64</v>
      </c>
    </row>
    <row r="95" spans="1:13" x14ac:dyDescent="0.25">
      <c r="A95" t="s">
        <v>124</v>
      </c>
      <c r="B95" t="s">
        <v>122</v>
      </c>
      <c r="C95" s="28">
        <v>923763564</v>
      </c>
      <c r="D95" t="s">
        <v>125</v>
      </c>
      <c r="E95" s="29">
        <v>22030.11</v>
      </c>
    </row>
    <row r="96" spans="1:13" x14ac:dyDescent="0.25">
      <c r="A96" t="s">
        <v>126</v>
      </c>
      <c r="B96" t="s">
        <v>122</v>
      </c>
      <c r="C96" s="30">
        <v>20689470</v>
      </c>
      <c r="D96" s="4" t="s">
        <v>127</v>
      </c>
      <c r="E96" s="29">
        <v>25709.38</v>
      </c>
    </row>
    <row r="97" spans="1:5" x14ac:dyDescent="0.25">
      <c r="A97" t="s">
        <v>128</v>
      </c>
      <c r="B97" t="s">
        <v>122</v>
      </c>
      <c r="C97" s="30">
        <v>20689489</v>
      </c>
      <c r="D97" s="4" t="s">
        <v>127</v>
      </c>
      <c r="E97" s="29">
        <v>37550.870000000003</v>
      </c>
    </row>
    <row r="98" spans="1:5" x14ac:dyDescent="0.25">
      <c r="A98" t="s">
        <v>128</v>
      </c>
      <c r="B98" t="s">
        <v>118</v>
      </c>
      <c r="C98" s="28">
        <v>22246088</v>
      </c>
      <c r="D98" s="4" t="s">
        <v>127</v>
      </c>
      <c r="E98" s="29">
        <v>11127.95</v>
      </c>
    </row>
    <row r="100" spans="1:5" ht="15.75" customHeight="1" x14ac:dyDescent="0.25">
      <c r="A100" s="31" t="s">
        <v>167</v>
      </c>
      <c r="B100" s="31"/>
      <c r="C100" s="31"/>
      <c r="D100" s="31"/>
      <c r="E100" s="31"/>
    </row>
    <row r="101" spans="1:5" x14ac:dyDescent="0.25">
      <c r="A101" s="31"/>
      <c r="B101" s="31"/>
      <c r="C101" s="31"/>
      <c r="D101" s="31"/>
      <c r="E101" s="31"/>
    </row>
    <row r="102" spans="1:5" x14ac:dyDescent="0.25">
      <c r="A102" s="31"/>
      <c r="B102" s="31"/>
      <c r="C102" s="31"/>
      <c r="D102" s="31"/>
      <c r="E102" s="31"/>
    </row>
    <row r="103" spans="1:5" x14ac:dyDescent="0.25">
      <c r="A103" s="31"/>
      <c r="B103" s="31"/>
      <c r="C103" s="31"/>
      <c r="D103" s="31"/>
      <c r="E103" s="31"/>
    </row>
    <row r="104" spans="1:5" x14ac:dyDescent="0.25">
      <c r="A104" s="31"/>
      <c r="B104" s="31"/>
      <c r="C104" s="31"/>
      <c r="D104" s="31"/>
      <c r="E104" s="31"/>
    </row>
    <row r="105" spans="1:5" x14ac:dyDescent="0.25">
      <c r="A105" s="31"/>
      <c r="B105" s="31"/>
      <c r="C105" s="31"/>
      <c r="D105" s="31"/>
      <c r="E105" s="31"/>
    </row>
    <row r="106" spans="1:5" x14ac:dyDescent="0.25">
      <c r="A106" s="31"/>
      <c r="B106" s="31"/>
      <c r="C106" s="31"/>
      <c r="D106" s="31"/>
      <c r="E106" s="31"/>
    </row>
    <row r="107" spans="1:5" x14ac:dyDescent="0.25">
      <c r="A107" s="26"/>
      <c r="B107" s="26"/>
      <c r="C107" s="26"/>
      <c r="D107" s="26"/>
      <c r="E107" s="26"/>
    </row>
    <row r="108" spans="1:5" x14ac:dyDescent="0.25">
      <c r="A108" s="26" t="s">
        <v>118</v>
      </c>
      <c r="B108">
        <v>300000</v>
      </c>
      <c r="C108" s="26"/>
      <c r="D108" s="26"/>
      <c r="E108" s="26"/>
    </row>
    <row r="109" spans="1:5" x14ac:dyDescent="0.25">
      <c r="A109" t="s">
        <v>25</v>
      </c>
      <c r="B109">
        <v>385000</v>
      </c>
      <c r="D109" t="s">
        <v>180</v>
      </c>
      <c r="E109" s="35">
        <v>0.03</v>
      </c>
    </row>
    <row r="110" spans="1:5" x14ac:dyDescent="0.25">
      <c r="A110" s="6">
        <f>vanilla</f>
        <v>4.8500000000000001E-2</v>
      </c>
      <c r="B110" t="s">
        <v>168</v>
      </c>
      <c r="D110" s="11" t="s">
        <v>134</v>
      </c>
      <c r="E110" s="6">
        <v>0.04</v>
      </c>
    </row>
    <row r="111" spans="1:5" x14ac:dyDescent="0.25">
      <c r="A111" s="6">
        <f>offset</f>
        <v>5.7104838709677412E-2</v>
      </c>
      <c r="B111" t="s">
        <v>169</v>
      </c>
      <c r="D111" s="11" t="s">
        <v>135</v>
      </c>
      <c r="E111" s="6">
        <v>4.4999999999999998E-2</v>
      </c>
    </row>
    <row r="112" spans="1:5" x14ac:dyDescent="0.25">
      <c r="D112" s="11" t="s">
        <v>146</v>
      </c>
      <c r="E112" s="6">
        <v>3.5999999999999999E-3</v>
      </c>
    </row>
    <row r="113" spans="1:13" x14ac:dyDescent="0.25">
      <c r="D113" s="11" t="s">
        <v>136</v>
      </c>
      <c r="E113" s="6">
        <v>8.5000000000000006E-3</v>
      </c>
    </row>
    <row r="114" spans="1:13" x14ac:dyDescent="0.25">
      <c r="B114" s="6"/>
      <c r="D114" s="11" t="s">
        <v>170</v>
      </c>
    </row>
    <row r="115" spans="1:13" x14ac:dyDescent="0.25">
      <c r="B115" s="6"/>
      <c r="D115" s="11"/>
      <c r="H115" s="34" t="s">
        <v>175</v>
      </c>
      <c r="I115" s="34"/>
    </row>
    <row r="116" spans="1:13" x14ac:dyDescent="0.25">
      <c r="A116" s="2" t="s">
        <v>171</v>
      </c>
      <c r="B116" s="6"/>
      <c r="D116" t="s">
        <v>172</v>
      </c>
      <c r="E116" t="s">
        <v>173</v>
      </c>
      <c r="F116" t="s">
        <v>179</v>
      </c>
      <c r="G116" t="s">
        <v>99</v>
      </c>
      <c r="H116" t="s">
        <v>176</v>
      </c>
      <c r="I116" t="s">
        <v>177</v>
      </c>
      <c r="J116" t="s">
        <v>174</v>
      </c>
      <c r="K116" t="s">
        <v>176</v>
      </c>
      <c r="L116" t="s">
        <v>177</v>
      </c>
      <c r="M116" t="s">
        <v>178</v>
      </c>
    </row>
    <row r="117" spans="1:13" x14ac:dyDescent="0.25">
      <c r="B117" s="6"/>
      <c r="D117" s="11">
        <v>80000</v>
      </c>
      <c r="E117">
        <v>220000</v>
      </c>
      <c r="F117">
        <f>4.85%</f>
        <v>4.8499999999999995E-2</v>
      </c>
      <c r="G117" s="11">
        <f>B109-(D117+E117)</f>
        <v>85000</v>
      </c>
      <c r="H117" s="11">
        <f>F117*G117</f>
        <v>4122.4999999999991</v>
      </c>
      <c r="I117" s="11">
        <f>D117*E109</f>
        <v>2400</v>
      </c>
      <c r="J117">
        <v>80000</v>
      </c>
      <c r="K117" s="11">
        <f>(G117-J117)*F117</f>
        <v>242.49999999999997</v>
      </c>
      <c r="L117" s="11">
        <f>(D117-J117)*E109</f>
        <v>0</v>
      </c>
      <c r="M117" s="11">
        <f>H117+K117-L117</f>
        <v>4364.9999999999991</v>
      </c>
    </row>
    <row r="118" spans="1:13" x14ac:dyDescent="0.25">
      <c r="B118" s="6"/>
      <c r="D118" s="11"/>
    </row>
    <row r="119" spans="1:13" x14ac:dyDescent="0.25">
      <c r="B119" s="6"/>
      <c r="D119" s="11"/>
    </row>
    <row r="120" spans="1:13" x14ac:dyDescent="0.25">
      <c r="B120" s="6"/>
      <c r="D120" s="11"/>
    </row>
    <row r="121" spans="1:13" x14ac:dyDescent="0.25">
      <c r="B121" s="6"/>
      <c r="D121" s="11"/>
    </row>
    <row r="122" spans="1:13" x14ac:dyDescent="0.25">
      <c r="B122" s="6"/>
      <c r="D122" s="11"/>
    </row>
    <row r="124" spans="1:13" x14ac:dyDescent="0.25">
      <c r="A124" t="s">
        <v>161</v>
      </c>
    </row>
    <row r="125" spans="1:13" x14ac:dyDescent="0.25">
      <c r="A125" t="s">
        <v>158</v>
      </c>
      <c r="B125" t="s">
        <v>160</v>
      </c>
    </row>
    <row r="126" spans="1:13" x14ac:dyDescent="0.25">
      <c r="A126" t="s">
        <v>159</v>
      </c>
      <c r="B126" t="s">
        <v>162</v>
      </c>
    </row>
    <row r="127" spans="1:13" x14ac:dyDescent="0.25">
      <c r="A127" t="s">
        <v>163</v>
      </c>
      <c r="B127" t="s">
        <v>164</v>
      </c>
    </row>
    <row r="128" spans="1:13" x14ac:dyDescent="0.25">
      <c r="A128" t="s">
        <v>165</v>
      </c>
      <c r="B128" t="s">
        <v>166</v>
      </c>
    </row>
  </sheetData>
  <mergeCells count="4">
    <mergeCell ref="A1:F1"/>
    <mergeCell ref="A2:F2"/>
    <mergeCell ref="A100:E106"/>
    <mergeCell ref="H115:I115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Sheet1</vt:lpstr>
      <vt:lpstr>Sheet2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2025-09-09T17:56:00Z</dcterms:modified>
</cp:coreProperties>
</file>