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D:\Documents\Cambridge\"/>
    </mc:Choice>
  </mc:AlternateContent>
  <xr:revisionPtr revIDLastSave="0" documentId="13_ncr:1_{0DAA9C2E-B223-48A7-A8B1-61097F4522A6}" xr6:coauthVersionLast="47" xr6:coauthVersionMax="47" xr10:uidLastSave="{00000000-0000-0000-0000-000000000000}"/>
  <bookViews>
    <workbookView xWindow="-120" yWindow="-120" windowWidth="30960" windowHeight="17520" activeTab="1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allowance">Sheet1!$F$35</definedName>
    <definedName name="avg_int">Sheet2!$C$21</definedName>
    <definedName name="defer">Sheet1!$F$32</definedName>
    <definedName name="mrate">Sheet1!$H$15</definedName>
    <definedName name="normal">Sheet2!$H$20</definedName>
    <definedName name="off_incr">Sheet2!$L$6</definedName>
    <definedName name="offset">Sheet2!$H$19</definedName>
    <definedName name="rate">Sheet1!$F$36</definedName>
    <definedName name="Sale_price">Sheet2!$B$4</definedName>
    <definedName name="state">Sheet1!$F$31</definedName>
    <definedName name="vanilla">Sheet2!$L$8</definedName>
    <definedName name="vrate">Sheet1!#REF!</definedName>
    <definedName name="years">Sheet1!$H$16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5" i="2" l="1"/>
  <c r="I124" i="2" s="1"/>
  <c r="A18" i="2"/>
  <c r="A16" i="2"/>
  <c r="D121" i="2"/>
  <c r="K121" i="2" s="1"/>
  <c r="D131" i="2"/>
  <c r="P131" i="2" s="1"/>
  <c r="V23" i="2"/>
  <c r="V24" i="2"/>
  <c r="V25" i="2"/>
  <c r="V22" i="3"/>
  <c r="V23" i="3"/>
  <c r="V24" i="3"/>
  <c r="V22" i="2"/>
  <c r="V21" i="3"/>
  <c r="V17" i="2"/>
  <c r="V18" i="2"/>
  <c r="V19" i="2"/>
  <c r="V16" i="3"/>
  <c r="V17" i="3"/>
  <c r="V18" i="3"/>
  <c r="V16" i="2"/>
  <c r="V15" i="3"/>
  <c r="N131" i="2"/>
  <c r="I131" i="2"/>
  <c r="N130" i="2"/>
  <c r="I130" i="2"/>
  <c r="N129" i="2"/>
  <c r="I129" i="2"/>
  <c r="N128" i="2"/>
  <c r="I128" i="2"/>
  <c r="F118" i="2"/>
  <c r="E118" i="2"/>
  <c r="F117" i="2"/>
  <c r="E117" i="2"/>
  <c r="G112" i="2"/>
  <c r="F24" i="3"/>
  <c r="F23" i="3"/>
  <c r="R23" i="3" s="1"/>
  <c r="F22" i="3"/>
  <c r="J22" i="3" s="1"/>
  <c r="F21" i="3"/>
  <c r="O21" i="3" s="1"/>
  <c r="F18" i="3"/>
  <c r="O18" i="3" s="1"/>
  <c r="F17" i="3"/>
  <c r="F16" i="3"/>
  <c r="O16" i="3" s="1"/>
  <c r="F15" i="3"/>
  <c r="O24" i="3"/>
  <c r="J24" i="3"/>
  <c r="O23" i="3"/>
  <c r="J23" i="3"/>
  <c r="O22" i="3"/>
  <c r="N24" i="3"/>
  <c r="I24" i="3"/>
  <c r="N23" i="3"/>
  <c r="I23" i="3"/>
  <c r="N22" i="3"/>
  <c r="I22" i="3"/>
  <c r="N21" i="3"/>
  <c r="I21" i="3"/>
  <c r="P24" i="3"/>
  <c r="D24" i="3"/>
  <c r="K24" i="3" s="1"/>
  <c r="D23" i="3"/>
  <c r="P23" i="3" s="1"/>
  <c r="D22" i="3"/>
  <c r="P22" i="3" s="1"/>
  <c r="D21" i="3"/>
  <c r="P21" i="3" s="1"/>
  <c r="D18" i="3"/>
  <c r="P18" i="3" s="1"/>
  <c r="P17" i="3"/>
  <c r="K17" i="3"/>
  <c r="D17" i="3"/>
  <c r="K16" i="3"/>
  <c r="D16" i="3"/>
  <c r="P16" i="3" s="1"/>
  <c r="D15" i="3"/>
  <c r="P15" i="3" s="1"/>
  <c r="P14" i="3"/>
  <c r="K14" i="3"/>
  <c r="N18" i="3"/>
  <c r="I18" i="3"/>
  <c r="I17" i="3"/>
  <c r="N16" i="3"/>
  <c r="I16" i="3"/>
  <c r="N15" i="3"/>
  <c r="I15" i="3"/>
  <c r="M24" i="3"/>
  <c r="M23" i="3"/>
  <c r="M22" i="3"/>
  <c r="M21" i="3"/>
  <c r="R17" i="3"/>
  <c r="J15" i="3"/>
  <c r="R15" i="3"/>
  <c r="R14" i="3"/>
  <c r="N14" i="3"/>
  <c r="O14" i="3" s="1"/>
  <c r="I14" i="3"/>
  <c r="F9" i="3"/>
  <c r="F10" i="3" s="1"/>
  <c r="E9" i="3"/>
  <c r="E10" i="3" s="1"/>
  <c r="F8" i="3"/>
  <c r="N17" i="3" s="1"/>
  <c r="O17" i="3" s="1"/>
  <c r="E8" i="3"/>
  <c r="G4" i="3"/>
  <c r="G3" i="3"/>
  <c r="G2" i="3"/>
  <c r="R121" i="2"/>
  <c r="G111" i="2"/>
  <c r="G110" i="2"/>
  <c r="M128" i="2"/>
  <c r="M129" i="2"/>
  <c r="M130" i="2"/>
  <c r="M131" i="2"/>
  <c r="D130" i="2"/>
  <c r="P130" i="2" s="1"/>
  <c r="N121" i="2"/>
  <c r="O121" i="2" s="1"/>
  <c r="I121" i="2"/>
  <c r="F115" i="2"/>
  <c r="N124" i="2" s="1"/>
  <c r="D123" i="2"/>
  <c r="K123" i="2" s="1"/>
  <c r="D122" i="2"/>
  <c r="P122" i="2" s="1"/>
  <c r="D22" i="2"/>
  <c r="C21" i="2"/>
  <c r="F37" i="2" s="1"/>
  <c r="D16" i="2"/>
  <c r="G21" i="2"/>
  <c r="H20" i="2"/>
  <c r="G23" i="2" s="1"/>
  <c r="H23" i="2" s="1"/>
  <c r="H19" i="2"/>
  <c r="G22" i="2" s="1"/>
  <c r="H38" i="2" a="1"/>
  <c r="H38" i="2" s="1"/>
  <c r="G38" i="2" s="1"/>
  <c r="G39" i="2" s="1"/>
  <c r="D14" i="2"/>
  <c r="E124" i="2" l="1"/>
  <c r="D124" i="2" s="1"/>
  <c r="K124" i="2" s="1"/>
  <c r="C18" i="2"/>
  <c r="C26" i="2" s="1"/>
  <c r="P121" i="2"/>
  <c r="D129" i="2"/>
  <c r="K129" i="2" s="1"/>
  <c r="D125" i="2"/>
  <c r="P125" i="2" s="1"/>
  <c r="D128" i="2"/>
  <c r="K128" i="2" s="1"/>
  <c r="J21" i="3"/>
  <c r="R22" i="3"/>
  <c r="K22" i="3"/>
  <c r="K18" i="3"/>
  <c r="K23" i="3"/>
  <c r="K21" i="3"/>
  <c r="Q14" i="3"/>
  <c r="K15" i="3"/>
  <c r="S14" i="3"/>
  <c r="T14" i="3" s="1"/>
  <c r="V14" i="3" s="1"/>
  <c r="J16" i="3"/>
  <c r="O15" i="3"/>
  <c r="J18" i="3"/>
  <c r="R21" i="3"/>
  <c r="J17" i="3"/>
  <c r="Q17" i="3" s="1"/>
  <c r="S17" i="3" s="1"/>
  <c r="T17" i="3" s="1"/>
  <c r="Q16" i="3"/>
  <c r="R18" i="3"/>
  <c r="Q24" i="3"/>
  <c r="R16" i="3"/>
  <c r="R24" i="3"/>
  <c r="Q23" i="3"/>
  <c r="S23" i="3" s="1"/>
  <c r="T23" i="3" s="1"/>
  <c r="P123" i="2"/>
  <c r="P129" i="2"/>
  <c r="K125" i="2"/>
  <c r="K131" i="2"/>
  <c r="K130" i="2"/>
  <c r="I123" i="2"/>
  <c r="I122" i="2"/>
  <c r="N125" i="2"/>
  <c r="K122" i="2"/>
  <c r="N122" i="2"/>
  <c r="N123" i="2"/>
  <c r="I125" i="2"/>
  <c r="Q121" i="2"/>
  <c r="S121" i="2" s="1"/>
  <c r="T121" i="2" s="1"/>
  <c r="V121" i="2" s="1"/>
  <c r="D26" i="2"/>
  <c r="H34" i="2"/>
  <c r="G34" i="2"/>
  <c r="D23" i="2"/>
  <c r="D24" i="2" s="1"/>
  <c r="A26" i="2"/>
  <c r="A23" i="2"/>
  <c r="H36" i="2" a="1"/>
  <c r="H36" i="2" s="1"/>
  <c r="G36" i="2" s="1"/>
  <c r="G37" i="2" s="1"/>
  <c r="G26" i="2"/>
  <c r="H26" i="2" s="1"/>
  <c r="H32" i="2"/>
  <c r="G25" i="2"/>
  <c r="H25" i="2" s="1"/>
  <c r="G30" i="2"/>
  <c r="H30" i="2"/>
  <c r="G32" i="2"/>
  <c r="G24" i="2"/>
  <c r="H22" i="2"/>
  <c r="C6" i="2"/>
  <c r="A50" i="2"/>
  <c r="A49" i="2"/>
  <c r="C23" i="2" l="1"/>
  <c r="P124" i="2"/>
  <c r="P128" i="2"/>
  <c r="Q21" i="3"/>
  <c r="S21" i="3" s="1"/>
  <c r="T21" i="3" s="1"/>
  <c r="Q18" i="3"/>
  <c r="S18" i="3" s="1"/>
  <c r="T18" i="3" s="1"/>
  <c r="Q15" i="3"/>
  <c r="S15" i="3" s="1"/>
  <c r="T15" i="3" s="1"/>
  <c r="S24" i="3"/>
  <c r="T24" i="3" s="1"/>
  <c r="S16" i="3"/>
  <c r="T16" i="3" s="1"/>
  <c r="V27" i="3" s="1"/>
  <c r="V28" i="3" s="1"/>
  <c r="Q22" i="3"/>
  <c r="S22" i="3" s="1"/>
  <c r="T22" i="3" s="1"/>
  <c r="J35" i="2"/>
  <c r="L35" i="2" s="1"/>
  <c r="M35" i="2" s="1"/>
  <c r="J34" i="2"/>
  <c r="D25" i="2"/>
  <c r="A25" i="2"/>
  <c r="J31" i="2" s="1"/>
  <c r="L31" i="2" s="1"/>
  <c r="M31" i="2" s="1"/>
  <c r="A24" i="2"/>
  <c r="J30" i="2" s="1"/>
  <c r="C24" i="2"/>
  <c r="C25" i="2"/>
  <c r="J33" i="2" s="1"/>
  <c r="L33" i="2" s="1"/>
  <c r="M33" i="2" s="1"/>
  <c r="G27" i="2"/>
  <c r="A86" i="2"/>
  <c r="A89" i="2"/>
  <c r="A79" i="2"/>
  <c r="A78" i="2" s="1"/>
  <c r="A76" i="2"/>
  <c r="A70" i="2"/>
  <c r="A69" i="2"/>
  <c r="A68" i="2"/>
  <c r="A60" i="2"/>
  <c r="A65" i="2"/>
  <c r="A47" i="2"/>
  <c r="L34" i="2" l="1"/>
  <c r="M34" i="2" s="1"/>
  <c r="J32" i="2"/>
  <c r="L32" i="2" s="1"/>
  <c r="M32" i="2" s="1"/>
  <c r="L30" i="2"/>
  <c r="M30" i="2" s="1"/>
  <c r="J37" i="2"/>
  <c r="L37" i="2" s="1"/>
  <c r="M37" i="2" s="1"/>
  <c r="J36" i="2"/>
  <c r="L36" i="2" s="1"/>
  <c r="M36" i="2" s="1"/>
  <c r="A71" i="2"/>
  <c r="A80" i="2" s="1"/>
  <c r="A81" i="2"/>
  <c r="A82" i="2" l="1"/>
  <c r="A48" i="2"/>
  <c r="A51" i="2" s="1"/>
  <c r="C14" i="2" l="1"/>
  <c r="A17" i="2" l="1"/>
  <c r="E16" i="1"/>
  <c r="C6" i="1"/>
  <c r="E7" i="1"/>
  <c r="C50" i="1"/>
  <c r="B45" i="1"/>
  <c r="B46" i="1" s="1"/>
  <c r="A59" i="2" s="1"/>
  <c r="A85" i="2" s="1"/>
  <c r="E24" i="1"/>
  <c r="E6" i="1"/>
  <c r="C9" i="1"/>
  <c r="G12" i="1"/>
  <c r="E12" i="1" s="1"/>
  <c r="C11" i="1"/>
  <c r="C19" i="2" l="1"/>
  <c r="D19" i="2" s="1"/>
  <c r="B111" i="2"/>
  <c r="A19" i="2"/>
  <c r="C32" i="1"/>
  <c r="C31" i="1"/>
  <c r="A83" i="2" s="1"/>
  <c r="C27" i="1"/>
  <c r="C12" i="1"/>
  <c r="J15" i="1"/>
  <c r="J14" i="1"/>
  <c r="C4" i="1"/>
  <c r="F128" i="2" l="1"/>
  <c r="F130" i="2"/>
  <c r="F131" i="2"/>
  <c r="F124" i="2"/>
  <c r="F123" i="2"/>
  <c r="F129" i="2"/>
  <c r="F122" i="2"/>
  <c r="A46" i="2"/>
  <c r="A52" i="2" s="1"/>
  <c r="A20" i="2"/>
  <c r="A64" i="2"/>
  <c r="A66" i="2" s="1"/>
  <c r="J18" i="1"/>
  <c r="C33" i="1"/>
  <c r="R122" i="2" l="1"/>
  <c r="O122" i="2"/>
  <c r="J122" i="2"/>
  <c r="R128" i="2"/>
  <c r="J128" i="2"/>
  <c r="O128" i="2"/>
  <c r="R123" i="2"/>
  <c r="J123" i="2"/>
  <c r="O123" i="2"/>
  <c r="R130" i="2"/>
  <c r="O130" i="2"/>
  <c r="J130" i="2"/>
  <c r="R124" i="2"/>
  <c r="O124" i="2"/>
  <c r="J124" i="2"/>
  <c r="R129" i="2"/>
  <c r="J129" i="2"/>
  <c r="O129" i="2"/>
  <c r="R131" i="2"/>
  <c r="O131" i="2"/>
  <c r="J131" i="2"/>
  <c r="C7" i="1"/>
  <c r="E19" i="1" s="1"/>
  <c r="F19" i="1" s="1"/>
  <c r="Q123" i="2" l="1"/>
  <c r="S123" i="2" s="1"/>
  <c r="T123" i="2" s="1"/>
  <c r="V123" i="2" s="1"/>
  <c r="V134" i="2" s="1"/>
  <c r="V135" i="2" s="1"/>
  <c r="Q131" i="2"/>
  <c r="S131" i="2" s="1"/>
  <c r="T131" i="2" s="1"/>
  <c r="V131" i="2" s="1"/>
  <c r="Q130" i="2"/>
  <c r="Q128" i="2"/>
  <c r="S128" i="2" s="1"/>
  <c r="T128" i="2" s="1"/>
  <c r="V128" i="2" s="1"/>
  <c r="S130" i="2"/>
  <c r="T130" i="2" s="1"/>
  <c r="V130" i="2" s="1"/>
  <c r="Q124" i="2"/>
  <c r="S124" i="2" s="1"/>
  <c r="T124" i="2" s="1"/>
  <c r="V124" i="2" s="1"/>
  <c r="Q122" i="2"/>
  <c r="S122" i="2" s="1"/>
  <c r="T122" i="2" s="1"/>
  <c r="V122" i="2" s="1"/>
  <c r="Q129" i="2"/>
  <c r="S129" i="2" s="1"/>
  <c r="T129" i="2" s="1"/>
  <c r="V129" i="2" s="1"/>
  <c r="C15" i="1"/>
  <c r="H23" i="1"/>
  <c r="F20" i="1"/>
  <c r="J10" i="1"/>
  <c r="C28" i="1"/>
  <c r="C29" i="1" s="1"/>
  <c r="H30" i="1" s="1"/>
  <c r="E10" i="1" l="1"/>
  <c r="C36" i="1"/>
  <c r="C37" i="1" s="1"/>
  <c r="C16" i="1"/>
  <c r="H24" i="1"/>
  <c r="C10" i="1"/>
  <c r="C13" i="1" s="1"/>
  <c r="D13" i="1" s="1"/>
  <c r="B10" i="1"/>
  <c r="B17" i="1"/>
  <c r="H25" i="1" l="1"/>
  <c r="H26" i="1" s="1"/>
  <c r="C18" i="1"/>
  <c r="C19" i="1" s="1"/>
  <c r="C21" i="1" s="1"/>
  <c r="C38" i="1"/>
  <c r="C14" i="1"/>
  <c r="H38" i="1"/>
  <c r="B31" i="1"/>
  <c r="G10" i="1"/>
  <c r="B12" i="1" l="1"/>
  <c r="B6" i="1"/>
  <c r="B7" i="1" l="1"/>
  <c r="E18" i="1" s="1"/>
  <c r="F18" i="1" s="1"/>
  <c r="B32" i="1"/>
  <c r="B28" i="1"/>
  <c r="B27" i="1"/>
  <c r="B13" i="1"/>
  <c r="B33" i="1" l="1"/>
  <c r="B35" i="1" s="1"/>
  <c r="B36" i="1" s="1"/>
  <c r="B37" i="1" s="1"/>
  <c r="A84" i="2"/>
  <c r="A87" i="2" s="1"/>
  <c r="A90" i="2" s="1"/>
  <c r="B29" i="1"/>
  <c r="B16" i="1"/>
  <c r="B38" i="1" l="1"/>
  <c r="B18" i="1"/>
  <c r="B19" i="1" s="1"/>
  <c r="B21" i="1" s="1"/>
  <c r="F125" i="2" l="1"/>
  <c r="R125" i="2" s="1"/>
  <c r="O125" i="2" l="1"/>
  <c r="J125" i="2"/>
  <c r="Q125" i="2" l="1"/>
  <c r="S125" i="2" s="1"/>
  <c r="T125" i="2" s="1"/>
  <c r="V125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<sst xmlns="http://schemas.openxmlformats.org/spreadsheetml/2006/main" count="341" uniqueCount="201">
  <si>
    <t>HT annual pension @75%</t>
  </si>
  <si>
    <t>Rough calculation of available funds for flat purchase</t>
  </si>
  <si>
    <t>Current surplus in bank</t>
  </si>
  <si>
    <t>BUT also get remainder of lump sum when fully retire</t>
  </si>
  <si>
    <t>MINUS salary, PLUS remaining 25% of pension</t>
  </si>
  <si>
    <t>Estimate of Cath lump sum when fully retire</t>
  </si>
  <si>
    <t>Likely lump sum remainder</t>
  </si>
  <si>
    <t>That leaves us to live on annually</t>
  </si>
  <si>
    <t xml:space="preserve">That leaves us to live on per month </t>
  </si>
  <si>
    <t>We currently spend £2,800/month on regular payments plus cash</t>
  </si>
  <si>
    <t>Estimate of HST lump sum when fully retire</t>
  </si>
  <si>
    <t>Gross annual income once fully retired</t>
  </si>
  <si>
    <t>state</t>
  </si>
  <si>
    <t>defer++</t>
  </si>
  <si>
    <t>After tax</t>
  </si>
  <si>
    <t>allowance</t>
  </si>
  <si>
    <t>rate</t>
  </si>
  <si>
    <t>Taxable</t>
  </si>
  <si>
    <t>Gross</t>
  </si>
  <si>
    <t>Net</t>
  </si>
  <si>
    <t>Annual income estimated from 1Aug2019 (net of tax)</t>
  </si>
  <si>
    <t>JEJT contingency</t>
  </si>
  <si>
    <t>CWT annual salary @ 0.5FTE, net</t>
  </si>
  <si>
    <t>CWT annual pension @75%, net</t>
  </si>
  <si>
    <t>HT annual salary @0.5 FTE, net</t>
  </si>
  <si>
    <t>Cost</t>
  </si>
  <si>
    <t>Less deposit</t>
  </si>
  <si>
    <t>years</t>
  </si>
  <si>
    <t>mrate</t>
  </si>
  <si>
    <t>Estimate of Cath income when fully retired - gross pension</t>
  </si>
  <si>
    <t>Estimate of Henry income when fully retired - gross pension</t>
  </si>
  <si>
    <t>Per month</t>
  </si>
  <si>
    <t>Cost of sale</t>
  </si>
  <si>
    <t>Available for down payment</t>
  </si>
  <si>
    <t>So, unless we use W'dell to pay off mortgage, we're in trouble…</t>
  </si>
  <si>
    <t>Annual mortgage payment</t>
  </si>
  <si>
    <t>annual cost of mortgage</t>
  </si>
  <si>
    <t>Annual overdraft payment</t>
  </si>
  <si>
    <t>What we'd have to limit ourselves to on credit card (~ 1/2 of what we currenly spend)</t>
  </si>
  <si>
    <t>Disposition</t>
  </si>
  <si>
    <t>Standard Security</t>
  </si>
  <si>
    <t>LBTT</t>
  </si>
  <si>
    <t>ADS</t>
  </si>
  <si>
    <t>Altis</t>
  </si>
  <si>
    <t>Fee+VAT</t>
  </si>
  <si>
    <t>(state only)</t>
  </si>
  <si>
    <t>Monthly income, net of tax and mortgage</t>
  </si>
  <si>
    <t>Suppose we fully retire</t>
  </si>
  <si>
    <t>now including main pension)</t>
  </si>
  <si>
    <t>Every 10000 we add to the purchase price costs us 200/mo</t>
  </si>
  <si>
    <t>Or, every 10000 we take off the price only saves us 200/mo</t>
  </si>
  <si>
    <t>Available for down payment and costs</t>
  </si>
  <si>
    <t>interest only</t>
  </si>
  <si>
    <t>Actual net 7/10</t>
  </si>
  <si>
    <t>Actual net</t>
  </si>
  <si>
    <t>Annual cost</t>
  </si>
  <si>
    <t>Monthly</t>
  </si>
  <si>
    <t>Waterdell sale estimate</t>
  </si>
  <si>
    <t>Balance</t>
  </si>
  <si>
    <t>Annual net</t>
  </si>
  <si>
    <t>Monthly net</t>
  </si>
  <si>
    <t>Rent</t>
  </si>
  <si>
    <t>Net of tax and expenses</t>
  </si>
  <si>
    <t>Triodos</t>
  </si>
  <si>
    <t>Cash ISA HST</t>
  </si>
  <si>
    <t>Cash ISA CWT</t>
  </si>
  <si>
    <t>IFISA HST</t>
  </si>
  <si>
    <t>IFISA CWT</t>
  </si>
  <si>
    <t>These are not liquid</t>
  </si>
  <si>
    <t>Interest only</t>
  </si>
  <si>
    <t>Ecology BS HST</t>
  </si>
  <si>
    <t>Ecology BS CWT</t>
  </si>
  <si>
    <t>Cost of purchase</t>
  </si>
  <si>
    <t>Sale price</t>
  </si>
  <si>
    <t>Total</t>
  </si>
  <si>
    <t>Overdraft</t>
  </si>
  <si>
    <t>Sale Price</t>
  </si>
  <si>
    <t>Cash contribution</t>
  </si>
  <si>
    <t>Loan requirement</t>
  </si>
  <si>
    <t>Cost of Purchase</t>
  </si>
  <si>
    <t>2-year fixed interest-only loan rate</t>
  </si>
  <si>
    <t>Tax</t>
  </si>
  <si>
    <t>Capital expectations</t>
  </si>
  <si>
    <t>Waterdell</t>
  </si>
  <si>
    <t>CWT remaining lump</t>
  </si>
  <si>
    <t>HST remaining lump</t>
  </si>
  <si>
    <t>Liquid savings</t>
  </si>
  <si>
    <t>Cash ISAs, Triodos</t>
  </si>
  <si>
    <t>CWT Skipton</t>
  </si>
  <si>
    <t>Loan fee</t>
  </si>
  <si>
    <t>Transfer fee</t>
  </si>
  <si>
    <t>Savings, Ecology BS</t>
  </si>
  <si>
    <t>Management fee</t>
  </si>
  <si>
    <t>Contents insurance?</t>
  </si>
  <si>
    <t>Actual loan</t>
  </si>
  <si>
    <t>Shortfall</t>
  </si>
  <si>
    <t>from each Cash ISA</t>
  </si>
  <si>
    <t>Net monthly income</t>
  </si>
  <si>
    <t>Net full-cost balance</t>
  </si>
  <si>
    <t>Loan</t>
  </si>
  <si>
    <t>Lump sums</t>
  </si>
  <si>
    <t>Remaining capital</t>
  </si>
  <si>
    <t>Post-repay income</t>
  </si>
  <si>
    <t>Savings rate?</t>
  </si>
  <si>
    <t>Net monthly income from assets</t>
  </si>
  <si>
    <t>State pensions</t>
  </si>
  <si>
    <t>Personal pensions</t>
  </si>
  <si>
    <t>Total net monthly income</t>
  </si>
  <si>
    <t>Current net salaries+pensions</t>
  </si>
  <si>
    <t>Change in monthly income</t>
  </si>
  <si>
    <t>ISAs and savings</t>
  </si>
  <si>
    <t>Other misc pensions</t>
  </si>
  <si>
    <t>Factoring fee</t>
  </si>
  <si>
    <t>So we should be OK to pay off the loan on its 2nd anniversary, e.g. January 23 2022</t>
  </si>
  <si>
    <t>Mortgage from e.g. HSBC</t>
  </si>
  <si>
    <t>Stamp Duty</t>
  </si>
  <si>
    <t>From liquidations</t>
  </si>
  <si>
    <t>Contingencies</t>
  </si>
  <si>
    <t>Savings</t>
  </si>
  <si>
    <t>Belford Rent</t>
  </si>
  <si>
    <t>Funding the purchase of 4 Chichester House in Cambridge</t>
  </si>
  <si>
    <t>This version: 16 June 2025</t>
  </si>
  <si>
    <t>Cash ISA</t>
  </si>
  <si>
    <t>08-90-72</t>
  </si>
  <si>
    <t>Skipton BS HST</t>
  </si>
  <si>
    <t>20 - 78 - 91</t>
  </si>
  <si>
    <t>Triodos HST</t>
  </si>
  <si>
    <t>16-58-10</t>
  </si>
  <si>
    <t>Triodos CWT</t>
  </si>
  <si>
    <t>Fixed Rate fee</t>
  </si>
  <si>
    <t>Valuation fee</t>
  </si>
  <si>
    <t>Legal fees</t>
  </si>
  <si>
    <t>Standard Security?</t>
  </si>
  <si>
    <t>BoE base</t>
  </si>
  <si>
    <t>H base</t>
  </si>
  <si>
    <t>I-only incr</t>
  </si>
  <si>
    <t>I-only, variable</t>
  </si>
  <si>
    <t>I-only offset</t>
  </si>
  <si>
    <t>2-part examples</t>
  </si>
  <si>
    <t>LTV wrt Douglas Crescent</t>
  </si>
  <si>
    <t>I-only normal</t>
  </si>
  <si>
    <t>offset</t>
  </si>
  <si>
    <t>normal</t>
  </si>
  <si>
    <t>1-part examples</t>
  </si>
  <si>
    <t>vanilla</t>
  </si>
  <si>
    <t>offset incr</t>
  </si>
  <si>
    <t>avg_int</t>
  </si>
  <si>
    <t xml:space="preserve">monthly lost interest  </t>
  </si>
  <si>
    <t>offset drawn</t>
  </si>
  <si>
    <t>yr 1 lost</t>
  </si>
  <si>
    <t>y 2 lost no lump</t>
  </si>
  <si>
    <t>y 2 lost w. lump</t>
  </si>
  <si>
    <t>1 yr lump?</t>
  </si>
  <si>
    <t>After 1 yr</t>
  </si>
  <si>
    <t>After 2 yr</t>
  </si>
  <si>
    <t>w. lump</t>
  </si>
  <si>
    <t>offset 50% drawn</t>
  </si>
  <si>
    <t>Day 1</t>
  </si>
  <si>
    <t>Day 2</t>
  </si>
  <si>
    <t>I'm trying to work to this goal: Maximise flexibility while minimising cost.  To that end I am trying compute the (total) cost for two options, assuming that:
 a) We might need 50--80k some time in year 1;
 b) We should get 80K from my final lump sum by the end of year 1
 c) We need 385K to buy the flat; we have about 300K in (liquid) savings.</t>
  </si>
  <si>
    <t>Single loans use BoE base, part&amp;part use HB base</t>
  </si>
  <si>
    <t>Option 1: A single interest-only loan</t>
  </si>
  <si>
    <t>Reserve</t>
  </si>
  <si>
    <t>Deposit</t>
  </si>
  <si>
    <t>Year 1</t>
  </si>
  <si>
    <t>Loan pmt</t>
  </si>
  <si>
    <t>Reserve interest</t>
  </si>
  <si>
    <t>Total cost</t>
  </si>
  <si>
    <t>Interest</t>
  </si>
  <si>
    <t>Svgs Interest</t>
  </si>
  <si>
    <t>Lump sum</t>
  </si>
  <si>
    <t>Net interest</t>
  </si>
  <si>
    <t>Capital repayment</t>
  </si>
  <si>
    <t>Net to find</t>
  </si>
  <si>
    <t>Asset delta</t>
  </si>
  <si>
    <t>Sell Belford</t>
  </si>
  <si>
    <t>Year 2</t>
  </si>
  <si>
    <t>Single loans use BoE base</t>
  </si>
  <si>
    <r>
      <t xml:space="preserve">     </t>
    </r>
    <r>
      <rPr>
        <sz val="12"/>
        <color theme="1"/>
        <rFont val="Calibri"/>
        <family val="2"/>
        <scheme val="minor"/>
      </rPr>
      <t>Cheat to compare with no purchase</t>
    </r>
  </si>
  <si>
    <t>Option 2: Part and part interest only</t>
  </si>
  <si>
    <t>Part&amp;part use HB base</t>
  </si>
  <si>
    <t>Normal part</t>
  </si>
  <si>
    <t>Offset part</t>
  </si>
  <si>
    <t>Offset</t>
  </si>
  <si>
    <t>Day 4</t>
  </si>
  <si>
    <t>Day 3</t>
  </si>
  <si>
    <t>Drawn</t>
  </si>
  <si>
    <t>Loan pmts</t>
  </si>
  <si>
    <t>We liquidate 85K, put it in a savings account</t>
  </si>
  <si>
    <t>We  liquidate 70K, add to the current account</t>
  </si>
  <si>
    <t>Net cost</t>
  </si>
  <si>
    <t>per month</t>
  </si>
  <si>
    <t>We draw down 80K into the current account</t>
  </si>
  <si>
    <t>We pay the deposit with the 150K in the current account</t>
  </si>
  <si>
    <t>How the part+part would work for the 150 deposit version</t>
  </si>
  <si>
    <t>We borrow 155K, liquidate 80K and pay the balance on the house and all the costs with the resulting 235K</t>
  </si>
  <si>
    <r>
      <t xml:space="preserve">  </t>
    </r>
    <r>
      <rPr>
        <sz val="12"/>
        <color theme="1"/>
        <rFont val="Calibri"/>
        <family val="2"/>
        <scheme val="minor"/>
      </rPr>
      <t>Don't buy anything after all</t>
    </r>
  </si>
  <si>
    <t>Option 2: Part  normal and part offset, interest only</t>
  </si>
  <si>
    <t>HB base</t>
  </si>
  <si>
    <t>Value</t>
  </si>
  <si>
    <t>New Skipton HST Savings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</si>
</sst>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£&quot;#,##0;[Red]\-&quot;£&quot;#,##0"/>
    <numFmt numFmtId="8" formatCode="&quot;£&quot;#,##0.00;[Red]\-&quot;£&quot;#,##0.00"/>
    <numFmt numFmtId="164" formatCode="&quot;£&quot;#,##0"/>
    <numFmt numFmtId="165" formatCode="&quot;£&quot;#,##0.00"/>
    <numFmt numFmtId="166" formatCode="&quot;£&quot;#,##0.00;[Red]&quot;£&quot;#,##0.00"/>
    <numFmt numFmtId="167" formatCode="#,##0.000;[Red]#,##0.000"/>
    <numFmt numFmtId="168" formatCode="[$-809]dd\ mmmm\ yyyy;@"/>
  </numFmts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indexed="64"/>
      </bottom>
      <diagonal/>
    </border>
    <border>
      <left style="thin">
        <color rgb="FFB2B2B2"/>
      </left>
      <right/>
      <top style="thin">
        <color rgb="FFB2B2B2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4">
    <xf numFmtId="0" fontId="0" fillId="0" borderId="0"/>
    <xf numFmtId="0" fontId="2" fillId="2" borderId="1" applyNumberFormat="0" applyFont="0" applyAlignment="0" applyProtection="0"/>
    <xf numFmtId="0" fontId="4" fillId="3" borderId="0" applyNumberFormat="0" applyBorder="0" applyAlignment="0" applyProtection="0"/>
    <xf numFmtId="0" fontId="5" fillId="4" borderId="0" applyNumberFormat="0" applyBorder="0" applyAlignment="0" applyProtection="0"/>
  </cellStyleXfs>
  <cellXfs count="60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0" fillId="0" borderId="0" xfId="0" applyAlignment="1">
      <alignment horizontal="right"/>
    </xf>
    <xf numFmtId="6" fontId="0" fillId="0" borderId="0" xfId="0" applyNumberFormat="1"/>
    <xf numFmtId="10" fontId="0" fillId="0" borderId="0" xfId="0" applyNumberFormat="1"/>
    <xf numFmtId="16" fontId="0" fillId="0" borderId="0" xfId="0" applyNumberFormat="1"/>
    <xf numFmtId="8" fontId="0" fillId="0" borderId="0" xfId="0" applyNumberFormat="1"/>
    <xf numFmtId="165" fontId="0" fillId="0" borderId="0" xfId="0" applyNumberFormat="1"/>
    <xf numFmtId="165" fontId="1" fillId="0" borderId="0" xfId="0" applyNumberFormat="1" applyFont="1"/>
    <xf numFmtId="166" fontId="0" fillId="0" borderId="0" xfId="0" applyNumberFormat="1"/>
    <xf numFmtId="0" fontId="1" fillId="2" borderId="1" xfId="1" applyFont="1"/>
    <xf numFmtId="0" fontId="0" fillId="2" borderId="1" xfId="1" applyFont="1"/>
    <xf numFmtId="0" fontId="0" fillId="2" borderId="3" xfId="1" applyFont="1" applyBorder="1"/>
    <xf numFmtId="166" fontId="0" fillId="2" borderId="3" xfId="1" applyNumberFormat="1" applyFont="1" applyBorder="1"/>
    <xf numFmtId="0" fontId="1" fillId="2" borderId="2" xfId="1" applyFont="1" applyBorder="1"/>
    <xf numFmtId="6" fontId="1" fillId="2" borderId="1" xfId="1" applyNumberFormat="1" applyFont="1"/>
    <xf numFmtId="0" fontId="0" fillId="2" borderId="4" xfId="1" applyFont="1" applyBorder="1"/>
    <xf numFmtId="6" fontId="0" fillId="2" borderId="4" xfId="1" applyNumberFormat="1" applyFont="1" applyBorder="1"/>
    <xf numFmtId="166" fontId="0" fillId="0" borderId="5" xfId="0" applyNumberFormat="1" applyBorder="1"/>
    <xf numFmtId="0" fontId="0" fillId="0" borderId="5" xfId="0" applyBorder="1"/>
    <xf numFmtId="166" fontId="1" fillId="0" borderId="0" xfId="0" applyNumberFormat="1" applyFont="1"/>
    <xf numFmtId="10" fontId="0" fillId="0" borderId="5" xfId="0" applyNumberFormat="1" applyBorder="1"/>
    <xf numFmtId="167" fontId="0" fillId="0" borderId="0" xfId="0" applyNumberFormat="1"/>
    <xf numFmtId="6" fontId="0" fillId="2" borderId="6" xfId="1" applyNumberFormat="1" applyFont="1" applyBorder="1"/>
    <xf numFmtId="0" fontId="0" fillId="0" borderId="0" xfId="0" applyAlignment="1">
      <alignment horizontal="left" wrapText="1"/>
    </xf>
    <xf numFmtId="4" fontId="5" fillId="4" borderId="0" xfId="3" applyNumberFormat="1"/>
    <xf numFmtId="0" fontId="0" fillId="0" borderId="0" xfId="0" quotePrefix="1" applyAlignment="1">
      <alignment horizontal="right"/>
    </xf>
    <xf numFmtId="4" fontId="4" fillId="3" borderId="0" xfId="2" applyNumberFormat="1"/>
    <xf numFmtId="0" fontId="0" fillId="0" borderId="0" xfId="0" quotePrefix="1"/>
    <xf numFmtId="0" fontId="0" fillId="0" borderId="9" xfId="0" applyBorder="1"/>
    <xf numFmtId="0" fontId="0" fillId="0" borderId="10" xfId="0" applyBorder="1"/>
    <xf numFmtId="166" fontId="0" fillId="0" borderId="10" xfId="0" applyNumberFormat="1" applyBorder="1"/>
    <xf numFmtId="166" fontId="0" fillId="0" borderId="12" xfId="0" applyNumberFormat="1" applyBorder="1"/>
    <xf numFmtId="0" fontId="0" fillId="0" borderId="7" xfId="0" applyBorder="1"/>
    <xf numFmtId="0" fontId="0" fillId="0" borderId="8" xfId="0" applyBorder="1"/>
    <xf numFmtId="10" fontId="0" fillId="0" borderId="9" xfId="0" applyNumberFormat="1" applyBorder="1"/>
    <xf numFmtId="10" fontId="0" fillId="0" borderId="11" xfId="0" applyNumberFormat="1" applyBorder="1"/>
    <xf numFmtId="166" fontId="0" fillId="0" borderId="14" xfId="0" applyNumberFormat="1" applyBorder="1"/>
    <xf numFmtId="0" fontId="0" fillId="0" borderId="0" xfId="0" applyAlignment="1">
      <alignment horizontal="center"/>
    </xf>
    <xf numFmtId="0" fontId="0" fillId="0" borderId="13" xfId="0" applyBorder="1"/>
    <xf numFmtId="0" fontId="0" fillId="0" borderId="14" xfId="0" applyBorder="1" applyAlignment="1">
      <alignment horizontal="center"/>
    </xf>
    <xf numFmtId="0" fontId="0" fillId="5" borderId="0" xfId="0" applyFill="1"/>
    <xf numFmtId="166" fontId="0" fillId="5" borderId="0" xfId="0" applyNumberFormat="1" applyFill="1"/>
    <xf numFmtId="10" fontId="0" fillId="5" borderId="0" xfId="0" applyNumberFormat="1" applyFill="1"/>
    <xf numFmtId="0" fontId="0" fillId="0" borderId="15" xfId="0" applyBorder="1"/>
    <xf numFmtId="10" fontId="0" fillId="0" borderId="15" xfId="0" applyNumberFormat="1" applyBorder="1"/>
    <xf numFmtId="166" fontId="0" fillId="0" borderId="15" xfId="0" applyNumberFormat="1" applyBorder="1"/>
    <xf numFmtId="0" fontId="0" fillId="0" borderId="17" xfId="0" applyBorder="1"/>
    <xf numFmtId="10" fontId="0" fillId="0" borderId="17" xfId="0" applyNumberFormat="1" applyBorder="1"/>
    <xf numFmtId="0" fontId="0" fillId="0" borderId="16" xfId="0" applyBorder="1"/>
    <xf numFmtId="0" fontId="0" fillId="0" borderId="0" xfId="0" applyAlignment="1">
      <alignment horizontal="left" wrapText="1"/>
    </xf>
    <xf numFmtId="0" fontId="3" fillId="0" borderId="0" xfId="0" applyFont="1" applyAlignment="1">
      <alignment horizontal="center"/>
    </xf>
    <xf numFmtId="168" fontId="0" fillId="0" borderId="0" xfId="0" applyNumberFormat="1" applyAlignment="1">
      <alignment horizontal="center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0" xfId="0" applyFont="1" applyAlignment="1">
      <alignment horizontal="left" wrapText="1"/>
    </xf>
    <xf numFmtId="166" fontId="0" fillId="0" borderId="15" xfId="0" applyNumberFormat="1" applyBorder="1" applyAlignment="1">
      <alignment horizontal="right" wrapText="1"/>
    </xf>
  </cellXfs>
  <cellStyles count="4">
    <cellStyle name="Good" xfId="2" builtinId="26"/>
    <cellStyle name="Neutral" xfId="3" builtinId="28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"/>
  <sheetViews>
    <sheetView workbookViewId="0">
      <selection activeCell="E16" sqref="E16"/>
    </sheetView>
  </sheetViews>
  <sheetFormatPr defaultColWidth="11" defaultRowHeight="15.75" x14ac:dyDescent="0.25"/>
  <cols>
    <col min="1" max="1" width="62" customWidth="1"/>
    <col min="2" max="2" width="11.375" style="1" bestFit="1" customWidth="1"/>
  </cols>
  <sheetData>
    <row r="1" spans="1:10" x14ac:dyDescent="0.25">
      <c r="A1" s="2" t="s">
        <v>1</v>
      </c>
    </row>
    <row r="2" spans="1:10" x14ac:dyDescent="0.25">
      <c r="C2" s="7">
        <v>43745</v>
      </c>
    </row>
    <row r="3" spans="1:10" x14ac:dyDescent="0.25">
      <c r="A3" t="s">
        <v>2</v>
      </c>
      <c r="B3" s="1">
        <v>0</v>
      </c>
      <c r="C3">
        <v>200000</v>
      </c>
    </row>
    <row r="4" spans="1:10" x14ac:dyDescent="0.25">
      <c r="A4" t="s">
        <v>21</v>
      </c>
      <c r="B4" s="5">
        <v>0</v>
      </c>
      <c r="C4" s="5">
        <f>B4</f>
        <v>0</v>
      </c>
    </row>
    <row r="5" spans="1:10" x14ac:dyDescent="0.25">
      <c r="C5" s="5"/>
      <c r="E5" s="5"/>
      <c r="H5" s="8"/>
    </row>
    <row r="6" spans="1:10" s="2" customFormat="1" x14ac:dyDescent="0.25">
      <c r="A6" s="2" t="s">
        <v>51</v>
      </c>
      <c r="B6" s="3">
        <f>SUM(B3:B5)</f>
        <v>0</v>
      </c>
      <c r="C6" s="3">
        <f>Sheet2!D14</f>
        <v>273434.90000000002</v>
      </c>
      <c r="E6" s="5" t="e">
        <f>12*PMT(vrate/12,years*12,C5)</f>
        <v>#REF!</v>
      </c>
      <c r="F6" s="7">
        <v>43745</v>
      </c>
    </row>
    <row r="7" spans="1:10" s="2" customFormat="1" x14ac:dyDescent="0.25">
      <c r="A7" s="2" t="s">
        <v>33</v>
      </c>
      <c r="B7" s="3">
        <f>B6+E16</f>
        <v>-38739</v>
      </c>
      <c r="C7" s="3">
        <f>C6+E16</f>
        <v>234695.90000000002</v>
      </c>
      <c r="E7" s="5" t="e">
        <f>-vrate*C5</f>
        <v>#REF!</v>
      </c>
      <c r="F7" t="s">
        <v>69</v>
      </c>
    </row>
    <row r="8" spans="1:10" x14ac:dyDescent="0.25">
      <c r="C8" s="1"/>
    </row>
    <row r="9" spans="1:10" x14ac:dyDescent="0.25">
      <c r="A9" t="s">
        <v>22</v>
      </c>
      <c r="B9" s="1">
        <v>30480</v>
      </c>
      <c r="C9" s="1">
        <f>2592*12</f>
        <v>31104</v>
      </c>
      <c r="F9" s="4"/>
    </row>
    <row r="10" spans="1:10" x14ac:dyDescent="0.25">
      <c r="A10" t="s">
        <v>23</v>
      </c>
      <c r="B10" s="1">
        <f>0.75*J10</f>
        <v>12030.300000000001</v>
      </c>
      <c r="C10" s="1">
        <f>J10</f>
        <v>16040.400000000001</v>
      </c>
      <c r="D10" s="4" t="s">
        <v>18</v>
      </c>
      <c r="E10" s="1">
        <f>J10/0.8</f>
        <v>20050.5</v>
      </c>
      <c r="F10" s="4" t="s">
        <v>19</v>
      </c>
      <c r="G10" s="1">
        <f>15790/0.75</f>
        <v>21053.333333333332</v>
      </c>
      <c r="H10" t="s">
        <v>53</v>
      </c>
      <c r="I10">
        <v>1336.7</v>
      </c>
      <c r="J10">
        <f>I10*12</f>
        <v>16040.400000000001</v>
      </c>
    </row>
    <row r="11" spans="1:10" x14ac:dyDescent="0.25">
      <c r="A11" t="s">
        <v>24</v>
      </c>
      <c r="B11" s="1">
        <v>24468</v>
      </c>
      <c r="C11" s="1">
        <f>2250*12</f>
        <v>27000</v>
      </c>
      <c r="E11" s="1"/>
    </row>
    <row r="12" spans="1:10" x14ac:dyDescent="0.25">
      <c r="A12" t="s">
        <v>0</v>
      </c>
      <c r="B12" s="1">
        <f>0.75*G12</f>
        <v>17582.399999999998</v>
      </c>
      <c r="C12" s="1">
        <f>G12</f>
        <v>23443.199999999997</v>
      </c>
      <c r="D12" s="4" t="s">
        <v>18</v>
      </c>
      <c r="E12" s="1">
        <f>G12/0.8</f>
        <v>29303.999999999996</v>
      </c>
      <c r="F12" s="4" t="s">
        <v>54</v>
      </c>
      <c r="G12" s="1">
        <f>1953.6*12</f>
        <v>23443.199999999997</v>
      </c>
      <c r="I12" t="s">
        <v>39</v>
      </c>
      <c r="J12">
        <v>480</v>
      </c>
    </row>
    <row r="13" spans="1:10" x14ac:dyDescent="0.25">
      <c r="A13" s="2" t="s">
        <v>20</v>
      </c>
      <c r="B13" s="3">
        <f>SUM(B9:B12)</f>
        <v>84560.7</v>
      </c>
      <c r="C13" s="3">
        <f>SUM(C9:C12)</f>
        <v>97587.599999999991</v>
      </c>
      <c r="D13" s="9">
        <f>C13/12</f>
        <v>8132.2999999999993</v>
      </c>
      <c r="E13" s="1"/>
      <c r="I13" t="s">
        <v>40</v>
      </c>
      <c r="J13">
        <v>60</v>
      </c>
    </row>
    <row r="14" spans="1:10" x14ac:dyDescent="0.25">
      <c r="C14" s="9">
        <f>C13/12</f>
        <v>8132.2999999999993</v>
      </c>
      <c r="E14" s="1"/>
      <c r="I14" t="s">
        <v>41</v>
      </c>
      <c r="J14" s="8">
        <f>8350*-E15/350000</f>
        <v>-10735.714285714286</v>
      </c>
    </row>
    <row r="15" spans="1:10" x14ac:dyDescent="0.25">
      <c r="A15" t="s">
        <v>114</v>
      </c>
      <c r="B15" s="5">
        <v>270000</v>
      </c>
      <c r="C15" s="5">
        <f>E19</f>
        <v>684695.9</v>
      </c>
      <c r="D15" t="s">
        <v>25</v>
      </c>
      <c r="E15" s="5">
        <v>450000</v>
      </c>
      <c r="G15" t="s">
        <v>28</v>
      </c>
      <c r="H15" s="6">
        <v>4.99E-2</v>
      </c>
      <c r="I15" t="s">
        <v>42</v>
      </c>
      <c r="J15" s="5">
        <f>14000*-E15/350000</f>
        <v>-18000</v>
      </c>
    </row>
    <row r="16" spans="1:10" x14ac:dyDescent="0.25">
      <c r="A16" t="s">
        <v>35</v>
      </c>
      <c r="B16" s="5">
        <f>F18</f>
        <v>93109.420717067915</v>
      </c>
      <c r="C16" s="5">
        <f>F19</f>
        <v>9517.273009999999</v>
      </c>
      <c r="D16" t="s">
        <v>32</v>
      </c>
      <c r="E16" s="5">
        <f>-Sheet2!C14</f>
        <v>-38739</v>
      </c>
      <c r="G16" t="s">
        <v>27</v>
      </c>
      <c r="H16">
        <v>5</v>
      </c>
      <c r="I16" t="s">
        <v>43</v>
      </c>
      <c r="J16">
        <v>30</v>
      </c>
    </row>
    <row r="17" spans="1:10" x14ac:dyDescent="0.25">
      <c r="A17" t="s">
        <v>37</v>
      </c>
      <c r="B17" s="5">
        <f>E5</f>
        <v>0</v>
      </c>
      <c r="C17" s="5">
        <v>-1000</v>
      </c>
      <c r="E17" s="5"/>
      <c r="F17" s="5"/>
      <c r="I17" t="s">
        <v>44</v>
      </c>
      <c r="J17">
        <v>1800</v>
      </c>
    </row>
    <row r="18" spans="1:10" x14ac:dyDescent="0.25">
      <c r="A18" s="2" t="s">
        <v>7</v>
      </c>
      <c r="B18" s="3">
        <f>B13+B16+B17</f>
        <v>177670.12071706791</v>
      </c>
      <c r="C18" s="10">
        <f>C13+C16+C17+12*Sheet2!A52</f>
        <v>102488.87301</v>
      </c>
      <c r="D18" t="s">
        <v>26</v>
      </c>
      <c r="E18" s="5">
        <f>E15+B7</f>
        <v>411261</v>
      </c>
      <c r="F18" s="5">
        <f>-12*PMT(mrate/12,years*12,E18)</f>
        <v>93109.420717067915</v>
      </c>
      <c r="G18" t="s">
        <v>36</v>
      </c>
      <c r="J18">
        <f>SUM(J12:J17)</f>
        <v>-26365.714285714286</v>
      </c>
    </row>
    <row r="19" spans="1:10" x14ac:dyDescent="0.25">
      <c r="A19" s="2" t="s">
        <v>8</v>
      </c>
      <c r="B19" s="3">
        <f>B18/12</f>
        <v>14805.843393088993</v>
      </c>
      <c r="C19" s="3">
        <f>C18/12</f>
        <v>8540.739417499999</v>
      </c>
      <c r="E19" s="5">
        <f>E15+C7</f>
        <v>684695.9</v>
      </c>
      <c r="F19" s="5">
        <f>1.39%*E19</f>
        <v>9517.273009999999</v>
      </c>
    </row>
    <row r="20" spans="1:10" x14ac:dyDescent="0.25">
      <c r="A20" t="s">
        <v>9</v>
      </c>
      <c r="B20" s="1">
        <v>2800</v>
      </c>
      <c r="C20" s="1">
        <v>2800</v>
      </c>
      <c r="F20" s="8">
        <f>F19/12</f>
        <v>793.10608416666662</v>
      </c>
    </row>
    <row r="21" spans="1:10" x14ac:dyDescent="0.25">
      <c r="A21" t="s">
        <v>38</v>
      </c>
      <c r="B21" s="1">
        <f>B19-B20</f>
        <v>12005.843393088993</v>
      </c>
      <c r="C21" s="1">
        <f>C19-C20</f>
        <v>5740.739417499999</v>
      </c>
    </row>
    <row r="22" spans="1:10" x14ac:dyDescent="0.25">
      <c r="A22" s="2"/>
      <c r="B22" s="3"/>
      <c r="G22" t="s">
        <v>52</v>
      </c>
      <c r="H22" s="6">
        <v>1.3899999999999999E-2</v>
      </c>
    </row>
    <row r="23" spans="1:10" x14ac:dyDescent="0.25">
      <c r="A23" t="s">
        <v>3</v>
      </c>
      <c r="D23" t="s">
        <v>61</v>
      </c>
      <c r="E23">
        <v>1400</v>
      </c>
      <c r="G23" t="s">
        <v>55</v>
      </c>
      <c r="H23" s="5">
        <f>H22*E19</f>
        <v>9517.273009999999</v>
      </c>
    </row>
    <row r="24" spans="1:10" x14ac:dyDescent="0.25">
      <c r="A24" t="s">
        <v>4</v>
      </c>
      <c r="D24" t="s">
        <v>62</v>
      </c>
      <c r="E24">
        <f>E23*0.8-100</f>
        <v>1020</v>
      </c>
      <c r="G24" t="s">
        <v>56</v>
      </c>
      <c r="H24" s="8">
        <f>H23/12</f>
        <v>793.10608416666662</v>
      </c>
    </row>
    <row r="25" spans="1:10" x14ac:dyDescent="0.25">
      <c r="G25" t="s">
        <v>59</v>
      </c>
      <c r="H25" s="1" t="e">
        <f>C13+H23+E7</f>
        <v>#REF!</v>
      </c>
    </row>
    <row r="26" spans="1:10" x14ac:dyDescent="0.25">
      <c r="A26" s="2" t="s">
        <v>47</v>
      </c>
      <c r="C26">
        <v>80267.899999999994</v>
      </c>
      <c r="G26" t="s">
        <v>60</v>
      </c>
      <c r="H26" s="9" t="e">
        <f>H25/12</f>
        <v>#REF!</v>
      </c>
    </row>
    <row r="27" spans="1:10" x14ac:dyDescent="0.25">
      <c r="A27" t="s">
        <v>5</v>
      </c>
      <c r="B27" s="1">
        <f>80000/3</f>
        <v>26666.666666666668</v>
      </c>
      <c r="C27">
        <f>C26/3</f>
        <v>26755.966666666664</v>
      </c>
    </row>
    <row r="28" spans="1:10" x14ac:dyDescent="0.25">
      <c r="A28" t="s">
        <v>10</v>
      </c>
      <c r="B28" s="1" t="e">
        <f>#REF!/3</f>
        <v>#REF!</v>
      </c>
      <c r="C28" s="1" t="e">
        <f>#REF!/3</f>
        <v>#REF!</v>
      </c>
    </row>
    <row r="29" spans="1:10" s="2" customFormat="1" x14ac:dyDescent="0.25">
      <c r="A29" s="2" t="s">
        <v>6</v>
      </c>
      <c r="B29" s="3" t="e">
        <f>SUM(B27:B28)</f>
        <v>#REF!</v>
      </c>
      <c r="C29" s="3" t="e">
        <f>SUM(C27:C28)</f>
        <v>#REF!</v>
      </c>
      <c r="D29"/>
      <c r="E29"/>
    </row>
    <row r="30" spans="1:10" s="2" customFormat="1" x14ac:dyDescent="0.25">
      <c r="A30" s="2" t="s">
        <v>57</v>
      </c>
      <c r="B30" s="3"/>
      <c r="C30" s="3">
        <v>150000</v>
      </c>
      <c r="G30" s="2" t="s">
        <v>58</v>
      </c>
      <c r="H30" s="3" t="e">
        <f>C29+C30+E19</f>
        <v>#REF!</v>
      </c>
    </row>
    <row r="31" spans="1:10" x14ac:dyDescent="0.25">
      <c r="A31" t="s">
        <v>29</v>
      </c>
      <c r="B31" s="1">
        <f>E10+state+(3*defer*state)</f>
        <v>28643.3128</v>
      </c>
      <c r="C31" s="1">
        <f>state+(3*defer*state)</f>
        <v>8592.8127999999997</v>
      </c>
      <c r="D31" s="2"/>
      <c r="E31" s="2"/>
      <c r="F31" s="1">
        <v>6549.4</v>
      </c>
    </row>
    <row r="32" spans="1:10" x14ac:dyDescent="0.25">
      <c r="A32" t="s">
        <v>30</v>
      </c>
      <c r="B32" s="1">
        <f>E12+state+state*defer*5</f>
        <v>39259.087999999996</v>
      </c>
      <c r="C32" s="1">
        <f>state+state*defer*5</f>
        <v>9955.0879999999997</v>
      </c>
      <c r="E32" s="4" t="s">
        <v>12</v>
      </c>
      <c r="F32">
        <v>0.104</v>
      </c>
    </row>
    <row r="33" spans="1:8" x14ac:dyDescent="0.25">
      <c r="A33" s="2" t="s">
        <v>11</v>
      </c>
      <c r="B33" s="3">
        <f>SUM(B31:B32)</f>
        <v>67902.400800000003</v>
      </c>
      <c r="C33" s="3">
        <f>SUM(C31:C32)</f>
        <v>18547.900799999999</v>
      </c>
      <c r="D33" t="s">
        <v>45</v>
      </c>
      <c r="E33" s="4" t="s">
        <v>13</v>
      </c>
    </row>
    <row r="35" spans="1:8" x14ac:dyDescent="0.25">
      <c r="A35" t="s">
        <v>17</v>
      </c>
      <c r="B35" s="1">
        <f>B33-2*allowance</f>
        <v>44202.400800000003</v>
      </c>
      <c r="C35" s="1">
        <v>0</v>
      </c>
      <c r="F35" s="1">
        <v>11850</v>
      </c>
    </row>
    <row r="36" spans="1:8" x14ac:dyDescent="0.25">
      <c r="A36" s="2" t="s">
        <v>14</v>
      </c>
      <c r="B36" s="3">
        <f>B33-(B35*rate)</f>
        <v>59061.920640000004</v>
      </c>
      <c r="C36" s="10">
        <f>C33+((E12+J10)*0.8)+12*E24</f>
        <v>67063.420799999993</v>
      </c>
      <c r="D36" t="s">
        <v>48</v>
      </c>
      <c r="E36" s="4" t="s">
        <v>15</v>
      </c>
      <c r="F36">
        <v>0.2</v>
      </c>
    </row>
    <row r="37" spans="1:8" x14ac:dyDescent="0.25">
      <c r="A37" t="s">
        <v>31</v>
      </c>
      <c r="B37" s="1">
        <f>B36/12</f>
        <v>4921.82672</v>
      </c>
      <c r="C37" s="1">
        <f>C36/12</f>
        <v>5588.6183999999994</v>
      </c>
      <c r="E37" s="4" t="s">
        <v>16</v>
      </c>
    </row>
    <row r="38" spans="1:8" x14ac:dyDescent="0.25">
      <c r="A38" s="2" t="s">
        <v>46</v>
      </c>
      <c r="B38" s="3">
        <f>B37+(B16+B17)/12</f>
        <v>12680.945113088994</v>
      </c>
      <c r="C38" s="3">
        <f>C37+(C16+C17)/12</f>
        <v>6298.3911508333331</v>
      </c>
      <c r="H38" s="10">
        <f>C37+H24</f>
        <v>6381.7244841666661</v>
      </c>
    </row>
    <row r="40" spans="1:8" x14ac:dyDescent="0.25">
      <c r="A40" t="s">
        <v>34</v>
      </c>
    </row>
    <row r="41" spans="1:8" x14ac:dyDescent="0.25">
      <c r="A41" t="s">
        <v>49</v>
      </c>
    </row>
    <row r="42" spans="1:8" x14ac:dyDescent="0.25">
      <c r="A42" t="s">
        <v>50</v>
      </c>
    </row>
    <row r="44" spans="1:8" x14ac:dyDescent="0.25">
      <c r="A44" s="2" t="s">
        <v>63</v>
      </c>
    </row>
    <row r="45" spans="1:8" x14ac:dyDescent="0.25">
      <c r="A45" t="s">
        <v>64</v>
      </c>
      <c r="B45" s="1">
        <f>31063.77</f>
        <v>31063.77</v>
      </c>
    </row>
    <row r="46" spans="1:8" x14ac:dyDescent="0.25">
      <c r="A46" t="s">
        <v>65</v>
      </c>
      <c r="B46" s="1">
        <f>B45</f>
        <v>31063.77</v>
      </c>
    </row>
    <row r="47" spans="1:8" x14ac:dyDescent="0.25">
      <c r="A47" t="s">
        <v>70</v>
      </c>
      <c r="B47" s="1">
        <v>10960</v>
      </c>
    </row>
    <row r="48" spans="1:8" x14ac:dyDescent="0.25">
      <c r="A48" t="s">
        <v>71</v>
      </c>
      <c r="B48" s="1">
        <v>10960</v>
      </c>
    </row>
    <row r="49" spans="1:4" x14ac:dyDescent="0.25">
      <c r="A49" t="s">
        <v>66</v>
      </c>
      <c r="C49">
        <v>10353.09</v>
      </c>
      <c r="D49" s="52" t="s">
        <v>68</v>
      </c>
    </row>
    <row r="50" spans="1:4" x14ac:dyDescent="0.25">
      <c r="A50" t="s">
        <v>67</v>
      </c>
      <c r="C50">
        <f>C49</f>
        <v>10353.09</v>
      </c>
      <c r="D50" s="52"/>
    </row>
  </sheetData>
  <mergeCells count="1">
    <mergeCell ref="D49:D50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140"/>
  <sheetViews>
    <sheetView tabSelected="1" topLeftCell="A99" workbookViewId="0">
      <selection activeCell="J124" sqref="J124"/>
    </sheetView>
  </sheetViews>
  <sheetFormatPr defaultRowHeight="15.75" x14ac:dyDescent="0.25"/>
  <cols>
    <col min="1" max="1" width="10.875" bestFit="1" customWidth="1"/>
    <col min="2" max="2" width="10.875" customWidth="1"/>
    <col min="3" max="3" width="11.75" customWidth="1"/>
    <col min="4" max="4" width="10.875" customWidth="1"/>
    <col min="5" max="5" width="10.75" bestFit="1" customWidth="1"/>
    <col min="6" max="6" width="10.625" customWidth="1"/>
    <col min="7" max="7" width="10.75" customWidth="1"/>
    <col min="8" max="8" width="10.625" customWidth="1"/>
    <col min="9" max="9" width="7.5" customWidth="1"/>
    <col min="10" max="10" width="12.75" customWidth="1"/>
    <col min="11" max="11" width="9.875" customWidth="1"/>
    <col min="12" max="12" width="10.625" customWidth="1"/>
    <col min="13" max="13" width="11.875" customWidth="1"/>
    <col min="14" max="14" width="7.75" customWidth="1"/>
    <col min="15" max="18" width="10.875" bestFit="1" customWidth="1"/>
    <col min="19" max="19" width="12.125" customWidth="1"/>
    <col min="20" max="20" width="12.25" customWidth="1"/>
    <col min="21" max="21" width="12" customWidth="1"/>
    <col min="22" max="22" width="11.375" customWidth="1"/>
  </cols>
  <sheetData>
    <row r="1" spans="1:22" ht="18.75" x14ac:dyDescent="0.3">
      <c r="A1" s="53" t="s">
        <v>120</v>
      </c>
      <c r="B1" s="53"/>
      <c r="C1" s="53"/>
      <c r="D1" s="53"/>
      <c r="E1" s="53"/>
      <c r="F1" s="53"/>
    </row>
    <row r="2" spans="1:22" x14ac:dyDescent="0.25">
      <c r="A2" s="54" t="s">
        <v>121</v>
      </c>
      <c r="B2" s="54"/>
      <c r="C2" s="54"/>
      <c r="D2" s="54"/>
      <c r="E2" s="54"/>
      <c r="F2" s="54"/>
    </row>
    <row r="3" spans="1:22" x14ac:dyDescent="0.25">
      <c r="A3" s="2" t="s">
        <v>73</v>
      </c>
      <c r="B3" s="12" t="s">
        <v>72</v>
      </c>
      <c r="C3" s="18"/>
      <c r="D3" s="2" t="s">
        <v>118</v>
      </c>
    </row>
    <row r="4" spans="1:22" x14ac:dyDescent="0.25">
      <c r="A4" s="11" t="s">
        <v>199</v>
      </c>
      <c r="B4" s="12">
        <v>415000</v>
      </c>
      <c r="C4" s="19">
        <v>480</v>
      </c>
      <c r="D4" s="11">
        <v>200000</v>
      </c>
      <c r="E4" s="11" t="s">
        <v>116</v>
      </c>
      <c r="G4" s="11"/>
      <c r="H4" s="11"/>
      <c r="I4" s="11"/>
      <c r="M4" s="11"/>
      <c r="N4" s="11"/>
    </row>
    <row r="5" spans="1:22" x14ac:dyDescent="0.25">
      <c r="A5" s="11"/>
      <c r="B5" s="13" t="s">
        <v>132</v>
      </c>
      <c r="C5" s="19">
        <v>60</v>
      </c>
      <c r="D5" s="11">
        <v>65028.95</v>
      </c>
      <c r="E5" t="s">
        <v>71</v>
      </c>
      <c r="F5" t="s">
        <v>122</v>
      </c>
      <c r="G5">
        <v>3901011738</v>
      </c>
      <c r="H5" s="4" t="s">
        <v>123</v>
      </c>
      <c r="I5" s="11"/>
      <c r="M5" s="11"/>
      <c r="N5" s="11"/>
    </row>
    <row r="6" spans="1:22" x14ac:dyDescent="0.25">
      <c r="A6" s="11"/>
      <c r="B6" s="13" t="s">
        <v>115</v>
      </c>
      <c r="C6" s="19">
        <f>8%*Sale_price</f>
        <v>33200</v>
      </c>
      <c r="D6" s="11">
        <v>32787.64</v>
      </c>
      <c r="E6" t="s">
        <v>70</v>
      </c>
      <c r="F6" t="s">
        <v>122</v>
      </c>
      <c r="G6">
        <v>3901011716</v>
      </c>
      <c r="H6" s="4" t="s">
        <v>123</v>
      </c>
      <c r="I6" s="11"/>
      <c r="J6" s="11" t="s">
        <v>145</v>
      </c>
      <c r="K6" s="11"/>
      <c r="L6" s="6">
        <v>5.0000000000000001E-3</v>
      </c>
      <c r="M6" s="11"/>
      <c r="N6" s="11"/>
    </row>
    <row r="7" spans="1:22" x14ac:dyDescent="0.25">
      <c r="A7" s="11"/>
      <c r="B7" s="13" t="s">
        <v>129</v>
      </c>
      <c r="C7" s="19">
        <v>250</v>
      </c>
      <c r="D7" s="11">
        <v>22030.11</v>
      </c>
      <c r="E7" t="s">
        <v>124</v>
      </c>
      <c r="F7" t="s">
        <v>122</v>
      </c>
      <c r="G7" s="28">
        <v>923763564</v>
      </c>
      <c r="H7" t="s">
        <v>125</v>
      </c>
      <c r="I7" s="11"/>
      <c r="J7" s="11" t="s">
        <v>135</v>
      </c>
      <c r="K7" s="11"/>
      <c r="L7" s="6">
        <v>8.5000000000000006E-3</v>
      </c>
      <c r="M7" s="11"/>
      <c r="N7" s="11"/>
    </row>
    <row r="8" spans="1:22" x14ac:dyDescent="0.25">
      <c r="A8" s="11"/>
      <c r="B8" s="13" t="s">
        <v>43</v>
      </c>
      <c r="C8" s="19">
        <v>30</v>
      </c>
      <c r="D8" s="11">
        <v>25709.38</v>
      </c>
      <c r="E8" t="s">
        <v>126</v>
      </c>
      <c r="F8" t="s">
        <v>122</v>
      </c>
      <c r="G8" s="30">
        <v>20689470</v>
      </c>
      <c r="H8" s="4" t="s">
        <v>127</v>
      </c>
      <c r="I8" s="11"/>
      <c r="J8" s="11" t="s">
        <v>136</v>
      </c>
      <c r="K8" s="11"/>
      <c r="L8" s="6">
        <v>4.3499999999999997E-2</v>
      </c>
      <c r="M8" s="11" t="s">
        <v>144</v>
      </c>
      <c r="N8" s="11"/>
    </row>
    <row r="9" spans="1:22" x14ac:dyDescent="0.25">
      <c r="A9" s="11"/>
      <c r="B9" s="13" t="s">
        <v>89</v>
      </c>
      <c r="C9" s="25">
        <v>1499</v>
      </c>
      <c r="D9" s="11">
        <v>37550.870000000003</v>
      </c>
      <c r="E9" t="s">
        <v>128</v>
      </c>
      <c r="F9" t="s">
        <v>122</v>
      </c>
      <c r="G9" s="30">
        <v>20689489</v>
      </c>
      <c r="H9" s="4" t="s">
        <v>127</v>
      </c>
      <c r="I9" s="11"/>
      <c r="J9" s="11" t="s">
        <v>160</v>
      </c>
      <c r="K9" s="11"/>
      <c r="L9" s="6"/>
      <c r="M9" s="11"/>
      <c r="N9" s="11"/>
    </row>
    <row r="10" spans="1:22" x14ac:dyDescent="0.25">
      <c r="A10" s="11"/>
      <c r="B10" s="13" t="s">
        <v>90</v>
      </c>
      <c r="C10" s="25">
        <v>20</v>
      </c>
      <c r="D10" s="11">
        <v>327.95</v>
      </c>
      <c r="E10" t="s">
        <v>128</v>
      </c>
      <c r="F10" t="s">
        <v>118</v>
      </c>
      <c r="G10" s="28">
        <v>22246088</v>
      </c>
      <c r="H10" s="4" t="s">
        <v>127</v>
      </c>
      <c r="I10" s="11"/>
    </row>
    <row r="11" spans="1:22" x14ac:dyDescent="0.25">
      <c r="A11" s="11"/>
      <c r="B11" s="13" t="s">
        <v>130</v>
      </c>
      <c r="C11" s="25">
        <v>700</v>
      </c>
      <c r="D11" s="11">
        <v>90000</v>
      </c>
      <c r="E11" s="6" t="s">
        <v>200</v>
      </c>
      <c r="F11" s="11"/>
      <c r="G11" s="11"/>
      <c r="H11" s="11"/>
      <c r="I11" s="11"/>
      <c r="O11" t="s">
        <v>141</v>
      </c>
    </row>
    <row r="12" spans="1:22" x14ac:dyDescent="0.25">
      <c r="A12" s="11"/>
      <c r="B12" s="13"/>
      <c r="C12" s="25"/>
      <c r="D12" s="11"/>
      <c r="E12" s="6"/>
      <c r="F12" s="11"/>
      <c r="G12" s="11"/>
      <c r="H12" s="11"/>
      <c r="I12" s="11"/>
    </row>
    <row r="13" spans="1:22" ht="16.5" thickBot="1" x14ac:dyDescent="0.3">
      <c r="A13" s="11"/>
      <c r="B13" s="14" t="s">
        <v>131</v>
      </c>
      <c r="C13" s="15">
        <v>2500</v>
      </c>
      <c r="D13" s="20">
        <v>0</v>
      </c>
      <c r="E13" s="21" t="s">
        <v>75</v>
      </c>
      <c r="F13" s="11"/>
      <c r="G13" s="11"/>
      <c r="H13" s="11"/>
      <c r="I13" s="11"/>
      <c r="O13" t="s">
        <v>142</v>
      </c>
    </row>
    <row r="14" spans="1:22" x14ac:dyDescent="0.25">
      <c r="A14" s="11"/>
      <c r="B14" s="16" t="s">
        <v>74</v>
      </c>
      <c r="C14" s="17">
        <f>SUM(C4:C13)</f>
        <v>38739</v>
      </c>
      <c r="D14" s="22">
        <f>SUM(D5:D13)</f>
        <v>273434.90000000002</v>
      </c>
      <c r="E14" s="2" t="s">
        <v>74</v>
      </c>
      <c r="F14" s="11"/>
      <c r="G14" s="11"/>
      <c r="H14" s="11"/>
      <c r="I14" s="11"/>
    </row>
    <row r="15" spans="1:22" x14ac:dyDescent="0.25">
      <c r="A15" s="11"/>
      <c r="B15" s="11"/>
      <c r="C15" s="11"/>
      <c r="D15" s="3"/>
      <c r="E15" s="11"/>
      <c r="F15" s="11"/>
      <c r="G15" s="11"/>
      <c r="H15" s="11"/>
      <c r="I15" s="11"/>
    </row>
    <row r="16" spans="1:22" x14ac:dyDescent="0.25">
      <c r="A16" s="11">
        <f>-Sale_price</f>
        <v>-415000</v>
      </c>
      <c r="B16" s="11" t="s">
        <v>76</v>
      </c>
      <c r="C16" s="11"/>
      <c r="D16" s="11">
        <f>32787.64-D6</f>
        <v>0</v>
      </c>
      <c r="E16" t="s">
        <v>70</v>
      </c>
      <c r="F16" t="s">
        <v>122</v>
      </c>
      <c r="G16">
        <v>3901011716</v>
      </c>
      <c r="H16" s="4" t="s">
        <v>123</v>
      </c>
      <c r="I16" s="11"/>
      <c r="V16">
        <f>T16+B$4+U16</f>
        <v>415000</v>
      </c>
    </row>
    <row r="17" spans="1:22" ht="15.75" customHeight="1" x14ac:dyDescent="0.25">
      <c r="A17" s="11">
        <f>-C14</f>
        <v>-38739</v>
      </c>
      <c r="B17" s="11" t="s">
        <v>79</v>
      </c>
      <c r="C17" s="11"/>
      <c r="D17" s="11"/>
      <c r="F17" s="11"/>
      <c r="G17" s="11"/>
      <c r="H17" s="11"/>
      <c r="I17" s="11"/>
      <c r="V17">
        <f t="shared" ref="V17:V19" si="0">T17+B$4+U17</f>
        <v>415000</v>
      </c>
    </row>
    <row r="18" spans="1:22" ht="16.5" customHeight="1" thickBot="1" x14ac:dyDescent="0.3">
      <c r="A18" s="20">
        <f>D14-20000+304.1</f>
        <v>253739.00000000003</v>
      </c>
      <c r="B18" s="20" t="s">
        <v>77</v>
      </c>
      <c r="C18" s="11">
        <f>A18</f>
        <v>253739.00000000003</v>
      </c>
      <c r="D18" s="11">
        <v>283539</v>
      </c>
      <c r="E18" s="2" t="s">
        <v>138</v>
      </c>
      <c r="G18" s="11"/>
      <c r="H18" s="11"/>
      <c r="I18" s="11"/>
      <c r="V18">
        <f t="shared" si="0"/>
        <v>415000</v>
      </c>
    </row>
    <row r="19" spans="1:22" x14ac:dyDescent="0.25">
      <c r="A19" s="22">
        <f>SUM(A16:A18)</f>
        <v>-199999.99999999997</v>
      </c>
      <c r="B19" s="22" t="s">
        <v>78</v>
      </c>
      <c r="C19" s="11">
        <f>A16+A17+C18</f>
        <v>-199999.99999999997</v>
      </c>
      <c r="D19" s="11">
        <f>C19/2</f>
        <v>-99999.999999999985</v>
      </c>
      <c r="E19" s="11" t="s">
        <v>137</v>
      </c>
      <c r="F19">
        <v>100000</v>
      </c>
      <c r="G19" s="11">
        <v>485</v>
      </c>
      <c r="H19" s="6">
        <f>(G19/31)*365/F19</f>
        <v>5.7104838709677412E-2</v>
      </c>
      <c r="I19" s="11"/>
      <c r="V19">
        <f t="shared" si="0"/>
        <v>415000</v>
      </c>
    </row>
    <row r="20" spans="1:22" ht="16.5" thickBot="1" x14ac:dyDescent="0.3">
      <c r="A20" s="23">
        <f>-A19/1000000</f>
        <v>0.19999999999999998</v>
      </c>
      <c r="B20" s="11" t="s">
        <v>139</v>
      </c>
      <c r="C20" s="11"/>
      <c r="D20" s="11"/>
      <c r="E20" s="11" t="s">
        <v>140</v>
      </c>
      <c r="F20">
        <v>120000</v>
      </c>
      <c r="G20" s="11">
        <v>531</v>
      </c>
      <c r="H20" s="6">
        <f>(G20/31)*365/F20</f>
        <v>5.2100806451612899E-2</v>
      </c>
      <c r="I20" s="11"/>
    </row>
    <row r="21" spans="1:22" x14ac:dyDescent="0.25">
      <c r="A21" s="6"/>
      <c r="B21" s="11" t="s">
        <v>146</v>
      </c>
      <c r="C21" s="6">
        <f>3%</f>
        <v>0.03</v>
      </c>
      <c r="D21" s="11"/>
      <c r="E21" s="11"/>
      <c r="F21" s="11"/>
      <c r="G21" s="11">
        <f>SUM(G19:G20)</f>
        <v>1016</v>
      </c>
      <c r="H21" s="11"/>
      <c r="I21" s="11"/>
    </row>
    <row r="22" spans="1:22" x14ac:dyDescent="0.25">
      <c r="A22" s="6"/>
      <c r="B22" s="11" t="s">
        <v>152</v>
      </c>
      <c r="C22" s="11">
        <v>0</v>
      </c>
      <c r="D22" s="11">
        <f>C22</f>
        <v>0</v>
      </c>
      <c r="E22" s="11"/>
      <c r="F22">
        <v>100000</v>
      </c>
      <c r="G22" s="11">
        <f>F22*offset*31/365</f>
        <v>485</v>
      </c>
      <c r="H22" s="6">
        <f>(G22/31)*365/F22</f>
        <v>5.7104838709677412E-2</v>
      </c>
      <c r="I22" s="11"/>
      <c r="V22" s="11">
        <f>T22+B$4+U22</f>
        <v>415000</v>
      </c>
    </row>
    <row r="23" spans="1:22" x14ac:dyDescent="0.25">
      <c r="A23" s="11">
        <f>A18*(avg_int/12)</f>
        <v>634.34750000000008</v>
      </c>
      <c r="B23" s="11" t="s">
        <v>147</v>
      </c>
      <c r="C23" s="11">
        <f>C18*(avg_int/12)</f>
        <v>634.34750000000008</v>
      </c>
      <c r="D23" s="11">
        <f>D18*(avg_int/12)</f>
        <v>708.84749999999997</v>
      </c>
      <c r="E23" s="11"/>
      <c r="F23">
        <v>100000</v>
      </c>
      <c r="G23" s="11">
        <f>F23*normal*31/365</f>
        <v>442.49999999999994</v>
      </c>
      <c r="H23" s="6">
        <f>(G23/31)*365/F23</f>
        <v>5.2100806451612899E-2</v>
      </c>
      <c r="I23" s="11"/>
      <c r="V23" s="11">
        <f t="shared" ref="V23:V25" si="1">T23+B$4+U23</f>
        <v>415000</v>
      </c>
    </row>
    <row r="24" spans="1:22" x14ac:dyDescent="0.25">
      <c r="A24" s="11">
        <f>A$23*12</f>
        <v>7612.170000000001</v>
      </c>
      <c r="B24" s="11" t="s">
        <v>149</v>
      </c>
      <c r="C24" s="11">
        <f>C$23*12</f>
        <v>7612.170000000001</v>
      </c>
      <c r="D24" s="11">
        <f>D$23*12</f>
        <v>8506.17</v>
      </c>
      <c r="E24" s="11"/>
      <c r="F24" s="11"/>
      <c r="G24" s="11">
        <f>SUM(G22:G23)</f>
        <v>927.5</v>
      </c>
      <c r="H24" s="11"/>
      <c r="I24" s="11"/>
      <c r="V24" s="11">
        <f t="shared" si="1"/>
        <v>415000</v>
      </c>
    </row>
    <row r="25" spans="1:22" x14ac:dyDescent="0.25">
      <c r="A25" s="11">
        <f t="shared" ref="A25:D25" si="2">A$23*12</f>
        <v>7612.170000000001</v>
      </c>
      <c r="B25" s="11" t="s">
        <v>150</v>
      </c>
      <c r="C25" s="11">
        <f t="shared" si="2"/>
        <v>7612.170000000001</v>
      </c>
      <c r="D25" s="11">
        <f t="shared" si="2"/>
        <v>8506.17</v>
      </c>
      <c r="E25" s="11"/>
      <c r="F25">
        <v>50000</v>
      </c>
      <c r="G25" s="11">
        <f>F25*offset*31/365</f>
        <v>242.5</v>
      </c>
      <c r="H25" s="6">
        <f>(G25/31)*365/F25</f>
        <v>5.7104838709677412E-2</v>
      </c>
      <c r="I25" s="11"/>
      <c r="V25" s="11">
        <f t="shared" si="1"/>
        <v>415000</v>
      </c>
    </row>
    <row r="26" spans="1:22" x14ac:dyDescent="0.25">
      <c r="A26" s="11">
        <f>(A18-C22)*(avg_int/12)*12</f>
        <v>7612.170000000001</v>
      </c>
      <c r="B26" s="11" t="s">
        <v>151</v>
      </c>
      <c r="C26" s="11">
        <f>(C18-C22)*(avg_int/12)*12</f>
        <v>7612.170000000001</v>
      </c>
      <c r="D26" s="11">
        <f>(D18-D22)*(avg_int/12)*12</f>
        <v>8506.17</v>
      </c>
      <c r="E26" s="11"/>
      <c r="F26">
        <v>150000</v>
      </c>
      <c r="G26" s="11">
        <f>F26*normal*31/365</f>
        <v>663.74999999999989</v>
      </c>
      <c r="H26" s="6">
        <f>(G26/31)*365/F26</f>
        <v>5.2100806451612892E-2</v>
      </c>
      <c r="I26" s="11"/>
    </row>
    <row r="27" spans="1:22" x14ac:dyDescent="0.25">
      <c r="A27" s="6"/>
      <c r="B27" s="11"/>
      <c r="C27" s="11"/>
      <c r="D27" s="11"/>
      <c r="E27" s="11"/>
      <c r="F27" s="11"/>
      <c r="G27" s="11">
        <f>SUM(G25:G26)</f>
        <v>906.24999999999989</v>
      </c>
      <c r="H27" s="11"/>
      <c r="I27" s="11"/>
    </row>
    <row r="28" spans="1:22" x14ac:dyDescent="0.25">
      <c r="A28" s="6"/>
      <c r="B28" s="11"/>
      <c r="C28" s="11"/>
      <c r="D28" s="11"/>
      <c r="E28" s="11"/>
      <c r="F28" s="11"/>
      <c r="G28" s="11"/>
      <c r="H28" s="11"/>
      <c r="I28" s="11"/>
    </row>
    <row r="29" spans="1:22" x14ac:dyDescent="0.25">
      <c r="A29" s="6"/>
      <c r="B29" s="11"/>
      <c r="C29" s="11"/>
      <c r="D29" s="11"/>
      <c r="E29" s="22" t="s">
        <v>143</v>
      </c>
      <c r="F29" s="11"/>
      <c r="G29" s="11"/>
      <c r="H29" s="11"/>
      <c r="I29" s="11"/>
      <c r="J29" t="s">
        <v>153</v>
      </c>
      <c r="L29" t="s">
        <v>154</v>
      </c>
    </row>
    <row r="30" spans="1:22" x14ac:dyDescent="0.25">
      <c r="A30" s="6"/>
      <c r="B30" s="11"/>
      <c r="C30" s="11"/>
      <c r="D30" s="11"/>
      <c r="E30" s="11" t="s">
        <v>142</v>
      </c>
      <c r="F30" s="11">
        <v>205000</v>
      </c>
      <c r="G30" s="11">
        <f>F30*vanilla*31/365</f>
        <v>757.3767123287671</v>
      </c>
      <c r="H30" s="6">
        <f>vanilla</f>
        <v>4.3499999999999997E-2</v>
      </c>
      <c r="I30" s="11"/>
      <c r="J30" s="11">
        <f>-(12*$G$30)-$A24</f>
        <v>-16700.690547945207</v>
      </c>
      <c r="K30" s="11"/>
      <c r="L30" s="11">
        <f>J30-(12*$G$30)-$A25</f>
        <v>-33401.381095890414</v>
      </c>
      <c r="M30" s="11">
        <f>L30-$F$30</f>
        <v>-238401.38109589042</v>
      </c>
    </row>
    <row r="31" spans="1:22" x14ac:dyDescent="0.25">
      <c r="A31" s="6"/>
      <c r="B31" s="11"/>
      <c r="C31" s="11"/>
      <c r="D31" s="11"/>
      <c r="E31" s="11" t="s">
        <v>155</v>
      </c>
      <c r="F31" s="11"/>
      <c r="G31" s="11"/>
      <c r="H31" s="11"/>
      <c r="I31" s="11"/>
      <c r="J31" s="11">
        <f>-(12*$G$30)-$A25</f>
        <v>-16700.690547945207</v>
      </c>
      <c r="K31" s="11"/>
      <c r="L31" s="11">
        <f>J31-(12*$G$30)-$A26</f>
        <v>-33401.381095890414</v>
      </c>
      <c r="M31" s="11">
        <f>L31-$F$30</f>
        <v>-238401.38109589042</v>
      </c>
      <c r="N31" s="11"/>
    </row>
    <row r="32" spans="1:22" x14ac:dyDescent="0.25">
      <c r="A32" s="6"/>
      <c r="B32" s="11"/>
      <c r="C32" s="11"/>
      <c r="D32" s="11"/>
      <c r="E32" s="11" t="s">
        <v>142</v>
      </c>
      <c r="F32" s="11">
        <v>180000</v>
      </c>
      <c r="G32" s="11">
        <f>F32*vanilla*31/365</f>
        <v>665.0136986301369</v>
      </c>
      <c r="H32" s="6">
        <f>vanilla</f>
        <v>4.3499999999999997E-2</v>
      </c>
      <c r="I32" s="11"/>
      <c r="J32" s="11">
        <f>-(12*$G$32)-$C24</f>
        <v>-15592.334383561643</v>
      </c>
      <c r="K32" s="11"/>
      <c r="L32" s="11">
        <f>J32-(12*$G$32)-$A25</f>
        <v>-31184.66876712329</v>
      </c>
      <c r="M32" s="11">
        <f>L32-$F$32</f>
        <v>-211184.66876712328</v>
      </c>
      <c r="N32" s="11"/>
    </row>
    <row r="33" spans="1:14" x14ac:dyDescent="0.25">
      <c r="A33" s="6"/>
      <c r="B33" s="11"/>
      <c r="C33" s="11"/>
      <c r="D33" s="11"/>
      <c r="E33" s="11" t="s">
        <v>155</v>
      </c>
      <c r="F33" s="11"/>
      <c r="G33" s="11"/>
      <c r="H33" s="11"/>
      <c r="I33" s="11"/>
      <c r="J33" s="11">
        <f>-(12*$G$32)-$C25</f>
        <v>-15592.334383561643</v>
      </c>
      <c r="K33" s="11"/>
      <c r="L33" s="11">
        <f>J33-(12*$G$32)-$A26</f>
        <v>-31184.66876712329</v>
      </c>
      <c r="M33" s="11">
        <f>L33-$F$32</f>
        <v>-211184.66876712328</v>
      </c>
      <c r="N33" s="11"/>
    </row>
    <row r="34" spans="1:14" x14ac:dyDescent="0.25">
      <c r="A34" s="6"/>
      <c r="B34" s="11"/>
      <c r="C34" s="11"/>
      <c r="D34" s="11"/>
      <c r="E34" s="11" t="s">
        <v>142</v>
      </c>
      <c r="F34" s="11">
        <v>100000</v>
      </c>
      <c r="G34" s="11">
        <f>F34*vanilla*31/365</f>
        <v>369.45205479452056</v>
      </c>
      <c r="H34" s="6">
        <f>vanilla</f>
        <v>4.3499999999999997E-2</v>
      </c>
      <c r="I34" s="11"/>
      <c r="J34" s="11">
        <f>-(12*$G$34)-$D24</f>
        <v>-12939.594657534246</v>
      </c>
      <c r="K34" s="11"/>
      <c r="L34" s="11">
        <f>J34-(12*$G$34)-$D25</f>
        <v>-25879.189315068492</v>
      </c>
      <c r="M34" s="11">
        <f>L34-$F$34</f>
        <v>-125879.18931506849</v>
      </c>
      <c r="N34" s="11"/>
    </row>
    <row r="35" spans="1:14" x14ac:dyDescent="0.25">
      <c r="A35" s="6"/>
      <c r="B35" s="11"/>
      <c r="C35" s="11"/>
      <c r="D35" s="11"/>
      <c r="E35" s="11" t="s">
        <v>155</v>
      </c>
      <c r="F35" s="11"/>
      <c r="G35" s="11"/>
      <c r="H35" s="11"/>
      <c r="I35" s="11"/>
      <c r="J35" s="11">
        <f>-(12*$G$32)-$C27</f>
        <v>-7980.1643835616433</v>
      </c>
      <c r="K35" s="11"/>
      <c r="L35" s="11">
        <f>J35-(12*$G$32)-$A28</f>
        <v>-15960.328767123287</v>
      </c>
      <c r="M35" s="11">
        <f>L35-$F$32</f>
        <v>-195960.32876712328</v>
      </c>
      <c r="N35" s="11"/>
    </row>
    <row r="36" spans="1:14" x14ac:dyDescent="0.25">
      <c r="A36" s="6"/>
      <c r="B36" s="11"/>
      <c r="C36" s="11"/>
      <c r="D36" s="11"/>
      <c r="E36" s="11" t="s">
        <v>148</v>
      </c>
      <c r="F36" s="11">
        <v>220000</v>
      </c>
      <c r="G36" s="11">
        <f>F36*H36*31/365</f>
        <v>906.21917808219166</v>
      </c>
      <c r="H36" s="6" cm="1">
        <f t="array" ref="H36">vanilla+off_incr</f>
        <v>4.8499999999999995E-2</v>
      </c>
      <c r="I36" s="11"/>
      <c r="J36" s="11">
        <f>-A$24-G36*12</f>
        <v>-18486.800136986301</v>
      </c>
      <c r="K36" s="11"/>
      <c r="L36" s="11">
        <f>J36-((12*G36)+A$25)</f>
        <v>-36973.600273972603</v>
      </c>
      <c r="M36" s="11">
        <f>L36-F36</f>
        <v>-256973.60027397261</v>
      </c>
      <c r="N36" s="11"/>
    </row>
    <row r="37" spans="1:14" x14ac:dyDescent="0.25">
      <c r="A37" s="6"/>
      <c r="B37" s="11"/>
      <c r="C37" s="11"/>
      <c r="D37" s="11"/>
      <c r="E37" s="11" t="s">
        <v>156</v>
      </c>
      <c r="F37" s="11">
        <f>avg_int*F36/2</f>
        <v>3300</v>
      </c>
      <c r="G37" s="11">
        <f>G36/2</f>
        <v>453.10958904109583</v>
      </c>
      <c r="H37" s="11"/>
      <c r="I37" s="11"/>
      <c r="J37" s="11">
        <f>-A$24-F37-G37*12</f>
        <v>-16349.485068493152</v>
      </c>
      <c r="K37" s="11"/>
      <c r="L37" s="11">
        <f>J37-F37-((12*G37)+A$25)</f>
        <v>-32698.970136986303</v>
      </c>
      <c r="M37" s="11">
        <f>L37-F36/2</f>
        <v>-142698.97013698629</v>
      </c>
      <c r="N37" s="11"/>
    </row>
    <row r="38" spans="1:14" x14ac:dyDescent="0.25">
      <c r="A38" s="6"/>
      <c r="B38" s="11"/>
      <c r="C38" s="11"/>
      <c r="D38" s="11"/>
      <c r="E38" s="11" t="s">
        <v>148</v>
      </c>
      <c r="F38" s="11">
        <v>200000</v>
      </c>
      <c r="G38" s="11">
        <f>F38*H38*31/365</f>
        <v>823.83561643835606</v>
      </c>
      <c r="H38" s="6" cm="1">
        <f t="array" ref="H38">vanilla+off_incr</f>
        <v>4.8499999999999995E-2</v>
      </c>
      <c r="I38" s="11"/>
      <c r="J38" s="11"/>
      <c r="K38" s="11"/>
      <c r="L38" s="11"/>
      <c r="M38" s="11"/>
      <c r="N38" s="11"/>
    </row>
    <row r="39" spans="1:14" x14ac:dyDescent="0.25">
      <c r="A39" s="6"/>
      <c r="B39" s="11"/>
      <c r="C39" s="11"/>
      <c r="D39" s="11"/>
      <c r="E39" s="11" t="s">
        <v>156</v>
      </c>
      <c r="F39" s="11"/>
      <c r="G39" s="11">
        <f>G38/2</f>
        <v>411.91780821917803</v>
      </c>
      <c r="H39" s="11"/>
      <c r="I39" s="11"/>
      <c r="J39" s="11"/>
      <c r="K39" s="11"/>
      <c r="L39" s="11"/>
      <c r="M39" s="11"/>
      <c r="N39" s="11"/>
    </row>
    <row r="40" spans="1:14" x14ac:dyDescent="0.25">
      <c r="A40" s="6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  <row r="41" spans="1:14" x14ac:dyDescent="0.25">
      <c r="A41" s="6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</row>
    <row r="42" spans="1:14" x14ac:dyDescent="0.25">
      <c r="A42" s="6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x14ac:dyDescent="0.25">
      <c r="A43" s="6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x14ac:dyDescent="0.25">
      <c r="A44" s="6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x14ac:dyDescent="0.25">
      <c r="A45" s="22" t="s">
        <v>60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x14ac:dyDescent="0.25">
      <c r="A46" s="11">
        <f>A$19*B46/12</f>
        <v>-666.66666666666663</v>
      </c>
      <c r="B46" s="6">
        <v>0.04</v>
      </c>
      <c r="C46" s="11" t="s">
        <v>80</v>
      </c>
      <c r="D46" s="11"/>
      <c r="E46" s="11"/>
      <c r="F46" s="11"/>
      <c r="G46" s="11"/>
      <c r="H46" s="11"/>
      <c r="I46" s="11"/>
      <c r="J46" s="24"/>
      <c r="K46" s="24"/>
      <c r="L46" s="11"/>
      <c r="M46" s="11"/>
      <c r="N46" s="11"/>
    </row>
    <row r="47" spans="1:14" x14ac:dyDescent="0.25">
      <c r="A47" s="11">
        <f>-B47/12</f>
        <v>-12.5</v>
      </c>
      <c r="B47" s="11">
        <v>150</v>
      </c>
      <c r="C47" s="11" t="s">
        <v>93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x14ac:dyDescent="0.25">
      <c r="A48" s="11">
        <f>-B48*A49</f>
        <v>-110</v>
      </c>
      <c r="B48" s="11">
        <v>0.1</v>
      </c>
      <c r="C48" s="11" t="s">
        <v>92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x14ac:dyDescent="0.25">
      <c r="A49" s="11">
        <f>B49</f>
        <v>1100</v>
      </c>
      <c r="B49" s="11">
        <v>1100</v>
      </c>
      <c r="C49" s="11" t="s">
        <v>119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x14ac:dyDescent="0.25">
      <c r="A50" s="11">
        <f>-B50/12</f>
        <v>-416.66666666666669</v>
      </c>
      <c r="B50" s="11">
        <v>5000</v>
      </c>
      <c r="C50" s="11" t="s">
        <v>117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6.5" thickBot="1" x14ac:dyDescent="0.3">
      <c r="A51" s="20">
        <f>SUM(A47:A49)*-B51</f>
        <v>-195.5</v>
      </c>
      <c r="B51" s="23">
        <v>0.2</v>
      </c>
      <c r="C51" s="20" t="s">
        <v>81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x14ac:dyDescent="0.25">
      <c r="A52" s="22">
        <f>SUM(A46:A51)</f>
        <v>-301.33333333333331</v>
      </c>
      <c r="B52" s="22" t="s">
        <v>97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x14ac:dyDescent="0.25">
      <c r="A54" s="22" t="s">
        <v>82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x14ac:dyDescent="0.25">
      <c r="A55" s="11">
        <v>26755.966666666664</v>
      </c>
      <c r="B55" s="11" t="s">
        <v>84</v>
      </c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x14ac:dyDescent="0.25">
      <c r="A56" s="11">
        <v>30867.266666666666</v>
      </c>
      <c r="B56" s="11" t="s">
        <v>85</v>
      </c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x14ac:dyDescent="0.25">
      <c r="A57" s="11"/>
      <c r="B57" s="11"/>
      <c r="C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x14ac:dyDescent="0.25">
      <c r="A58" s="22" t="s">
        <v>86</v>
      </c>
      <c r="B58" s="11"/>
      <c r="C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x14ac:dyDescent="0.25">
      <c r="A59" s="11">
        <f>2*Sheet1!B46</f>
        <v>62127.54</v>
      </c>
      <c r="B59" s="11" t="s">
        <v>87</v>
      </c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x14ac:dyDescent="0.25">
      <c r="A60" s="11">
        <f>2*(Sheet1!B47-E60)</f>
        <v>19920</v>
      </c>
      <c r="C60" s="11" t="s">
        <v>91</v>
      </c>
      <c r="D60" s="11"/>
      <c r="E60" s="11">
        <v>1000</v>
      </c>
      <c r="F60" s="11"/>
      <c r="G60" s="11"/>
      <c r="H60" s="11"/>
      <c r="I60" s="11"/>
      <c r="J60" s="11"/>
      <c r="K60" s="11"/>
      <c r="L60" s="11"/>
      <c r="M60" s="11"/>
      <c r="N60" s="11"/>
    </row>
    <row r="61" spans="1:14" x14ac:dyDescent="0.25">
      <c r="A61" s="11">
        <v>1170</v>
      </c>
      <c r="B61" s="11" t="s">
        <v>88</v>
      </c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x14ac:dyDescent="0.2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x14ac:dyDescent="0.25">
      <c r="A63" s="11">
        <v>267304</v>
      </c>
      <c r="B63" s="11" t="s">
        <v>94</v>
      </c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x14ac:dyDescent="0.25">
      <c r="A64" s="11">
        <f>A19+A63</f>
        <v>67304.000000000029</v>
      </c>
      <c r="B64" s="11" t="s">
        <v>95</v>
      </c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6.5" thickBot="1" x14ac:dyDescent="0.3">
      <c r="A65" s="20">
        <f>2*B65</f>
        <v>0</v>
      </c>
      <c r="B65" s="20">
        <v>0</v>
      </c>
      <c r="C65" s="11" t="s">
        <v>96</v>
      </c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x14ac:dyDescent="0.25">
      <c r="A66" s="22">
        <f>A64+A65</f>
        <v>67304.000000000029</v>
      </c>
      <c r="B66" s="22" t="s">
        <v>98</v>
      </c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x14ac:dyDescent="0.25">
      <c r="A67" s="22"/>
      <c r="B67" s="22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x14ac:dyDescent="0.25">
      <c r="A68" s="11">
        <f>-A63</f>
        <v>-267304</v>
      </c>
      <c r="B68" s="11" t="s">
        <v>99</v>
      </c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x14ac:dyDescent="0.25">
      <c r="A69" s="11">
        <f>SUM(A55:A56)</f>
        <v>57623.23333333333</v>
      </c>
      <c r="B69" s="11" t="s">
        <v>100</v>
      </c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6.5" thickBot="1" x14ac:dyDescent="0.3">
      <c r="A70" s="20" t="e">
        <f>#REF!</f>
        <v>#REF!</v>
      </c>
      <c r="B70" s="20" t="s">
        <v>83</v>
      </c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x14ac:dyDescent="0.25">
      <c r="A71" s="22" t="e">
        <f>SUM(A68:A70)</f>
        <v>#REF!</v>
      </c>
      <c r="B71" s="22" t="s">
        <v>101</v>
      </c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x14ac:dyDescent="0.25">
      <c r="A72" s="22"/>
      <c r="B72" s="22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x14ac:dyDescent="0.25">
      <c r="A73" s="11" t="s">
        <v>113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x14ac:dyDescent="0.2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x14ac:dyDescent="0.25">
      <c r="A75" s="22" t="s">
        <v>102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x14ac:dyDescent="0.25">
      <c r="A76" s="11">
        <f>-B76/12</f>
        <v>-12.5</v>
      </c>
      <c r="B76" s="11">
        <v>150</v>
      </c>
      <c r="C76" s="11" t="s">
        <v>93</v>
      </c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x14ac:dyDescent="0.25">
      <c r="A77" s="11">
        <v>-100</v>
      </c>
      <c r="B77" s="11"/>
      <c r="C77" s="11" t="s">
        <v>112</v>
      </c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x14ac:dyDescent="0.25">
      <c r="A78" s="11">
        <f>-B78*A79</f>
        <v>-125</v>
      </c>
      <c r="B78" s="6">
        <v>0.1</v>
      </c>
      <c r="C78" s="11" t="s">
        <v>92</v>
      </c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x14ac:dyDescent="0.25">
      <c r="A79" s="11">
        <f>B79</f>
        <v>1250</v>
      </c>
      <c r="B79" s="11">
        <v>1250</v>
      </c>
      <c r="C79" s="11" t="s">
        <v>61</v>
      </c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x14ac:dyDescent="0.25">
      <c r="A80" s="11" t="e">
        <f>A71*B80/12</f>
        <v>#REF!</v>
      </c>
      <c r="B80" s="6">
        <v>0.02</v>
      </c>
      <c r="C80" s="11" t="s">
        <v>103</v>
      </c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6.5" thickBot="1" x14ac:dyDescent="0.3">
      <c r="A81" s="20">
        <f>SUM(A76:A79)*-B81</f>
        <v>-202.5</v>
      </c>
      <c r="B81" s="23">
        <v>0.2</v>
      </c>
      <c r="C81" s="20" t="s">
        <v>81</v>
      </c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x14ac:dyDescent="0.25">
      <c r="A82" s="22" t="e">
        <f>SUM(A72:A81)</f>
        <v>#REF!</v>
      </c>
      <c r="B82" s="22" t="s">
        <v>104</v>
      </c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x14ac:dyDescent="0.25">
      <c r="A83" s="11">
        <f>SUM(Sheet1!C31:C32)/12</f>
        <v>1545.6584</v>
      </c>
      <c r="B83" s="11" t="s">
        <v>105</v>
      </c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x14ac:dyDescent="0.25">
      <c r="A84" s="11">
        <f>SUM(Sheet1!B31:B32)/12*(1-B81)</f>
        <v>4526.82672</v>
      </c>
      <c r="B84" s="11" t="s">
        <v>106</v>
      </c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x14ac:dyDescent="0.25">
      <c r="A85" s="11">
        <f>((2*(E60+24*250))+(A59-A65))*B85/12</f>
        <v>95.159424999999999</v>
      </c>
      <c r="B85" s="6">
        <v>1.4999999999999999E-2</v>
      </c>
      <c r="C85" s="11" t="s">
        <v>110</v>
      </c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6.5" thickBot="1" x14ac:dyDescent="0.3">
      <c r="A86" s="20">
        <f>(1-B81)*B86/12</f>
        <v>93.333333333333329</v>
      </c>
      <c r="B86" s="20">
        <v>1400</v>
      </c>
      <c r="C86" s="20" t="s">
        <v>111</v>
      </c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x14ac:dyDescent="0.25">
      <c r="A87" s="22" t="e">
        <f>SUM(A82:A86)</f>
        <v>#REF!</v>
      </c>
      <c r="B87" s="22" t="s">
        <v>107</v>
      </c>
      <c r="C87" s="11"/>
      <c r="D87" s="11"/>
      <c r="E87" s="11"/>
      <c r="F87" s="11"/>
      <c r="G87" s="11"/>
      <c r="H87" s="11"/>
      <c r="J87" s="11"/>
      <c r="K87" s="11"/>
      <c r="L87" s="11"/>
      <c r="M87" s="11"/>
      <c r="N87" s="11"/>
    </row>
    <row r="88" spans="1:14" x14ac:dyDescent="0.25">
      <c r="D88" s="11"/>
      <c r="E88" s="11"/>
    </row>
    <row r="89" spans="1:14" x14ac:dyDescent="0.25">
      <c r="A89">
        <f>(1789.7+2545.04+2336.51+1440.99)</f>
        <v>8112.24</v>
      </c>
      <c r="B89" t="s">
        <v>108</v>
      </c>
      <c r="D89" s="11"/>
      <c r="E89" s="11"/>
    </row>
    <row r="90" spans="1:14" x14ac:dyDescent="0.25">
      <c r="A90" s="11" t="e">
        <f>A87-A89</f>
        <v>#REF!</v>
      </c>
      <c r="B90" t="s">
        <v>109</v>
      </c>
    </row>
    <row r="94" spans="1:14" x14ac:dyDescent="0.25">
      <c r="A94" t="s">
        <v>71</v>
      </c>
      <c r="B94" t="s">
        <v>122</v>
      </c>
      <c r="C94">
        <v>3901011738</v>
      </c>
      <c r="D94" s="4" t="s">
        <v>123</v>
      </c>
      <c r="E94" s="27">
        <v>65028.95</v>
      </c>
    </row>
    <row r="95" spans="1:14" x14ac:dyDescent="0.25">
      <c r="A95" t="s">
        <v>70</v>
      </c>
      <c r="B95" t="s">
        <v>122</v>
      </c>
      <c r="C95">
        <v>3901011716</v>
      </c>
      <c r="D95" s="4" t="s">
        <v>123</v>
      </c>
      <c r="E95" s="27">
        <v>32787.64</v>
      </c>
    </row>
    <row r="96" spans="1:14" x14ac:dyDescent="0.25">
      <c r="A96" t="s">
        <v>124</v>
      </c>
      <c r="B96" t="s">
        <v>122</v>
      </c>
      <c r="C96" s="28">
        <v>923763564</v>
      </c>
      <c r="D96" t="s">
        <v>125</v>
      </c>
      <c r="E96" s="29">
        <v>22030.11</v>
      </c>
    </row>
    <row r="97" spans="1:7" x14ac:dyDescent="0.25">
      <c r="A97" t="s">
        <v>126</v>
      </c>
      <c r="B97" t="s">
        <v>122</v>
      </c>
      <c r="C97" s="30">
        <v>20689470</v>
      </c>
      <c r="D97" s="4" t="s">
        <v>127</v>
      </c>
      <c r="E97" s="29">
        <v>25709.38</v>
      </c>
    </row>
    <row r="98" spans="1:7" x14ac:dyDescent="0.25">
      <c r="A98" t="s">
        <v>128</v>
      </c>
      <c r="B98" t="s">
        <v>122</v>
      </c>
      <c r="C98" s="30">
        <v>20689489</v>
      </c>
      <c r="D98" s="4" t="s">
        <v>127</v>
      </c>
      <c r="E98" s="29">
        <v>37550.870000000003</v>
      </c>
    </row>
    <row r="99" spans="1:7" x14ac:dyDescent="0.25">
      <c r="A99" t="s">
        <v>128</v>
      </c>
      <c r="B99" t="s">
        <v>118</v>
      </c>
      <c r="C99" s="28">
        <v>22246088</v>
      </c>
      <c r="D99" s="4" t="s">
        <v>127</v>
      </c>
      <c r="E99" s="29">
        <v>327.95</v>
      </c>
    </row>
    <row r="101" spans="1:7" ht="15.75" customHeight="1" x14ac:dyDescent="0.25">
      <c r="A101" s="52" t="s">
        <v>159</v>
      </c>
      <c r="B101" s="52"/>
      <c r="C101" s="52"/>
      <c r="D101" s="52"/>
      <c r="E101" s="52"/>
    </row>
    <row r="102" spans="1:7" x14ac:dyDescent="0.25">
      <c r="A102" s="52"/>
      <c r="B102" s="52"/>
      <c r="C102" s="52"/>
      <c r="D102" s="52"/>
      <c r="E102" s="52"/>
    </row>
    <row r="103" spans="1:7" x14ac:dyDescent="0.25">
      <c r="A103" s="52"/>
      <c r="B103" s="52"/>
      <c r="C103" s="52"/>
      <c r="D103" s="52"/>
      <c r="E103" s="52"/>
    </row>
    <row r="104" spans="1:7" x14ac:dyDescent="0.25">
      <c r="A104" s="52"/>
      <c r="B104" s="52"/>
      <c r="C104" s="52"/>
      <c r="D104" s="52"/>
      <c r="E104" s="52"/>
    </row>
    <row r="105" spans="1:7" x14ac:dyDescent="0.25">
      <c r="A105" s="52"/>
      <c r="B105" s="52"/>
      <c r="C105" s="52"/>
      <c r="D105" s="52"/>
      <c r="E105" s="52"/>
    </row>
    <row r="106" spans="1:7" x14ac:dyDescent="0.25">
      <c r="A106" s="52"/>
      <c r="B106" s="52"/>
      <c r="C106" s="52"/>
      <c r="D106" s="52"/>
      <c r="E106" s="52"/>
    </row>
    <row r="107" spans="1:7" x14ac:dyDescent="0.25">
      <c r="A107" s="52"/>
      <c r="B107" s="52"/>
      <c r="C107" s="52"/>
      <c r="D107" s="52"/>
      <c r="E107" s="52"/>
    </row>
    <row r="108" spans="1:7" x14ac:dyDescent="0.25">
      <c r="A108" s="26"/>
      <c r="B108" s="26"/>
      <c r="C108" s="26"/>
      <c r="D108" s="26"/>
      <c r="E108" s="26"/>
    </row>
    <row r="109" spans="1:7" x14ac:dyDescent="0.25">
      <c r="D109" s="26"/>
      <c r="E109" s="26" t="s">
        <v>164</v>
      </c>
      <c r="F109" t="s">
        <v>176</v>
      </c>
    </row>
    <row r="110" spans="1:7" x14ac:dyDescent="0.25">
      <c r="A110" s="26" t="s">
        <v>118</v>
      </c>
      <c r="B110" s="11">
        <v>380000</v>
      </c>
      <c r="D110" t="s">
        <v>169</v>
      </c>
      <c r="E110" s="6">
        <v>0.03</v>
      </c>
      <c r="F110" s="6">
        <v>2.2499999999999999E-2</v>
      </c>
      <c r="G110" s="6">
        <f>E110+0.5%</f>
        <v>3.4999999999999996E-2</v>
      </c>
    </row>
    <row r="111" spans="1:7" x14ac:dyDescent="0.25">
      <c r="A111" t="s">
        <v>25</v>
      </c>
      <c r="B111" s="11">
        <f>-SUM(A16:A17)</f>
        <v>453739</v>
      </c>
      <c r="D111" s="11" t="s">
        <v>133</v>
      </c>
      <c r="E111" s="6">
        <v>0.04</v>
      </c>
      <c r="F111" s="6">
        <v>3.5000000000000003E-2</v>
      </c>
      <c r="G111" s="6">
        <f t="shared" ref="G111" si="3">E111+0.5%</f>
        <v>4.4999999999999998E-2</v>
      </c>
    </row>
    <row r="112" spans="1:7" x14ac:dyDescent="0.25">
      <c r="A112" s="6"/>
      <c r="D112" s="11" t="s">
        <v>134</v>
      </c>
      <c r="E112" s="6">
        <v>4.36E-2</v>
      </c>
      <c r="F112" s="6">
        <v>3.8600000000000002E-2</v>
      </c>
      <c r="G112" s="6">
        <f>E3+0.5%</f>
        <v>5.0000000000000001E-3</v>
      </c>
    </row>
    <row r="113" spans="1:22" x14ac:dyDescent="0.25">
      <c r="D113" s="11" t="s">
        <v>145</v>
      </c>
      <c r="E113" s="6">
        <v>5.0000000000000001E-3</v>
      </c>
      <c r="F113" s="6">
        <v>5.0000000000000001E-3</v>
      </c>
    </row>
    <row r="114" spans="1:22" x14ac:dyDescent="0.25">
      <c r="D114" s="11" t="s">
        <v>135</v>
      </c>
      <c r="E114" s="6">
        <v>3.5000000000000001E-3</v>
      </c>
      <c r="F114" s="6">
        <v>8.5000000000000006E-3</v>
      </c>
    </row>
    <row r="115" spans="1:22" x14ac:dyDescent="0.25">
      <c r="B115" s="6"/>
      <c r="D115" s="11" t="s">
        <v>177</v>
      </c>
      <c r="E115" s="6">
        <f>E111+E114</f>
        <v>4.3500000000000004E-2</v>
      </c>
      <c r="F115" s="6">
        <f>F111+F114</f>
        <v>4.3500000000000004E-2</v>
      </c>
    </row>
    <row r="116" spans="1:22" x14ac:dyDescent="0.25">
      <c r="B116" s="6"/>
      <c r="D116" s="11" t="s">
        <v>180</v>
      </c>
    </row>
    <row r="117" spans="1:22" x14ac:dyDescent="0.25">
      <c r="B117" s="6"/>
      <c r="D117" s="11" t="s">
        <v>181</v>
      </c>
      <c r="E117" s="6">
        <f>E3+E114</f>
        <v>3.5000000000000001E-3</v>
      </c>
      <c r="F117" s="6">
        <f>F3+F114</f>
        <v>8.5000000000000006E-3</v>
      </c>
      <c r="G117" s="6"/>
      <c r="N117" s="40"/>
      <c r="O117" s="40"/>
      <c r="P117" s="40"/>
    </row>
    <row r="118" spans="1:22" ht="16.5" thickBot="1" x14ac:dyDescent="0.3">
      <c r="B118" s="6"/>
      <c r="D118" s="11" t="s">
        <v>182</v>
      </c>
      <c r="E118" s="6" t="e">
        <f>E8+E113</f>
        <v>#VALUE!</v>
      </c>
      <c r="F118" s="6" t="e">
        <f>F8+F113</f>
        <v>#VALUE!</v>
      </c>
      <c r="G118" s="6"/>
      <c r="N118" s="42"/>
      <c r="O118" s="42"/>
      <c r="P118" s="42"/>
    </row>
    <row r="119" spans="1:22" ht="16.5" thickTop="1" x14ac:dyDescent="0.25">
      <c r="B119" s="6"/>
      <c r="D119" s="11"/>
      <c r="I119" s="55" t="s">
        <v>164</v>
      </c>
      <c r="J119" s="56"/>
      <c r="K119" s="57"/>
      <c r="N119" s="55" t="s">
        <v>176</v>
      </c>
      <c r="O119" s="56"/>
      <c r="P119" s="57"/>
    </row>
    <row r="120" spans="1:22" x14ac:dyDescent="0.25">
      <c r="A120" s="2" t="s">
        <v>161</v>
      </c>
      <c r="B120" s="6"/>
      <c r="D120" t="s">
        <v>162</v>
      </c>
      <c r="E120" t="s">
        <v>163</v>
      </c>
      <c r="F120" t="s">
        <v>99</v>
      </c>
      <c r="I120" s="31" t="s">
        <v>168</v>
      </c>
      <c r="J120" t="s">
        <v>165</v>
      </c>
      <c r="K120" s="32" t="s">
        <v>166</v>
      </c>
      <c r="L120" t="s">
        <v>170</v>
      </c>
      <c r="M120" t="s">
        <v>186</v>
      </c>
      <c r="N120" s="31" t="s">
        <v>168</v>
      </c>
      <c r="O120" t="s">
        <v>165</v>
      </c>
      <c r="P120" s="32" t="s">
        <v>166</v>
      </c>
      <c r="Q120" t="s">
        <v>171</v>
      </c>
      <c r="R120" t="s">
        <v>172</v>
      </c>
      <c r="S120" t="s">
        <v>167</v>
      </c>
      <c r="T120" t="s">
        <v>173</v>
      </c>
      <c r="U120" t="s">
        <v>175</v>
      </c>
      <c r="V120" t="s">
        <v>174</v>
      </c>
    </row>
    <row r="121" spans="1:22" x14ac:dyDescent="0.25">
      <c r="A121" s="2" t="s">
        <v>178</v>
      </c>
      <c r="B121" s="6"/>
      <c r="D121" s="11">
        <f>B110</f>
        <v>380000</v>
      </c>
      <c r="E121">
        <v>0</v>
      </c>
      <c r="F121">
        <v>0</v>
      </c>
      <c r="I121" s="37">
        <f>E110</f>
        <v>0.03</v>
      </c>
      <c r="J121">
        <v>0</v>
      </c>
      <c r="K121" s="33">
        <f>D121*$E$110</f>
        <v>11400</v>
      </c>
      <c r="L121" s="11">
        <v>0</v>
      </c>
      <c r="M121">
        <v>0</v>
      </c>
      <c r="N121" s="37">
        <f>F110</f>
        <v>2.2499999999999999E-2</v>
      </c>
      <c r="O121" s="11">
        <f>(F121+L121)*N121</f>
        <v>0</v>
      </c>
      <c r="P121" s="33">
        <f>D121*F$110</f>
        <v>8550</v>
      </c>
      <c r="Q121" s="11">
        <f>J121+O121+K121+P121</f>
        <v>19950</v>
      </c>
      <c r="R121" s="11">
        <f>L121</f>
        <v>0</v>
      </c>
      <c r="S121" s="11">
        <f>R121+Q121</f>
        <v>19950</v>
      </c>
      <c r="T121" s="11">
        <f>D121+S121</f>
        <v>399950</v>
      </c>
      <c r="U121" s="11">
        <v>350000</v>
      </c>
      <c r="V121" s="11">
        <f>T121+U121</f>
        <v>749950</v>
      </c>
    </row>
    <row r="122" spans="1:22" x14ac:dyDescent="0.25">
      <c r="B122" s="6"/>
      <c r="D122" s="11">
        <f>B$110+E122</f>
        <v>215000</v>
      </c>
      <c r="E122" s="11">
        <v>-165000</v>
      </c>
      <c r="F122" s="11">
        <f>-(B$111+E122)</f>
        <v>-288739</v>
      </c>
      <c r="G122" s="11"/>
      <c r="I122" s="37">
        <f t="shared" ref="I122:I124" si="4">E$115</f>
        <v>4.3500000000000004E-2</v>
      </c>
      <c r="J122" s="11">
        <f>I122*F122</f>
        <v>-12560.146500000001</v>
      </c>
      <c r="K122" s="33">
        <f>D122*$E$110</f>
        <v>6450</v>
      </c>
      <c r="L122" s="11">
        <v>0</v>
      </c>
      <c r="M122">
        <v>0</v>
      </c>
      <c r="N122" s="37">
        <f t="shared" ref="N122:N123" si="5">F$115</f>
        <v>4.3500000000000004E-2</v>
      </c>
      <c r="O122" s="11">
        <f>(F122+L122)*N122</f>
        <v>-12560.146500000001</v>
      </c>
      <c r="P122" s="33">
        <f t="shared" ref="P122:P125" si="6">D122*F$110</f>
        <v>4837.5</v>
      </c>
      <c r="Q122" s="11">
        <f>J122+O122+K122+P122</f>
        <v>-13832.793000000001</v>
      </c>
      <c r="R122" s="11">
        <f>F122+L122</f>
        <v>-288739</v>
      </c>
      <c r="S122" s="11">
        <f>R122+Q122</f>
        <v>-302571.79300000001</v>
      </c>
      <c r="T122" s="11">
        <f>D122+S122</f>
        <v>-87571.793000000005</v>
      </c>
      <c r="U122" s="11">
        <v>350000</v>
      </c>
      <c r="V122" s="11">
        <f>T122+Sale_price+U122</f>
        <v>677428.20699999994</v>
      </c>
    </row>
    <row r="123" spans="1:22" x14ac:dyDescent="0.25">
      <c r="B123" s="6"/>
      <c r="D123" s="11">
        <f>B$110+E123</f>
        <v>195000</v>
      </c>
      <c r="E123" s="11">
        <v>-185000</v>
      </c>
      <c r="F123" s="11">
        <f>-(B$111+E123)</f>
        <v>-268739</v>
      </c>
      <c r="G123" s="11"/>
      <c r="I123" s="37">
        <f t="shared" si="4"/>
        <v>4.3500000000000004E-2</v>
      </c>
      <c r="J123" s="11">
        <f>I123*F123</f>
        <v>-11690.146500000001</v>
      </c>
      <c r="K123" s="33">
        <f>D123*$E$110</f>
        <v>5850</v>
      </c>
      <c r="L123" s="11">
        <v>0</v>
      </c>
      <c r="M123">
        <v>0</v>
      </c>
      <c r="N123" s="37">
        <f t="shared" si="5"/>
        <v>4.3500000000000004E-2</v>
      </c>
      <c r="O123" s="11">
        <f t="shared" ref="O123:O125" si="7">(F123+L123)*N123</f>
        <v>-11690.146500000001</v>
      </c>
      <c r="P123" s="33">
        <f t="shared" si="6"/>
        <v>4387.5</v>
      </c>
      <c r="Q123" s="11">
        <f>J123+O123+K123+P123</f>
        <v>-13142.793000000001</v>
      </c>
      <c r="R123" s="11">
        <f t="shared" ref="R123:R125" si="8">F123+L123</f>
        <v>-268739</v>
      </c>
      <c r="S123" s="11">
        <f>R123+Q123</f>
        <v>-281881.79300000001</v>
      </c>
      <c r="T123" s="11">
        <f>D123+S123</f>
        <v>-86881.793000000005</v>
      </c>
      <c r="U123" s="11">
        <v>350000</v>
      </c>
      <c r="V123" s="11">
        <f>T123+Sale_price+U123</f>
        <v>678118.20699999994</v>
      </c>
    </row>
    <row r="124" spans="1:22" x14ac:dyDescent="0.25">
      <c r="B124" s="6"/>
      <c r="D124" s="11">
        <f>B$110+E124</f>
        <v>126260.99999999997</v>
      </c>
      <c r="E124" s="11">
        <f>-A18</f>
        <v>-253739.00000000003</v>
      </c>
      <c r="F124" s="11">
        <f>-(B$111+E124)</f>
        <v>-199999.99999999997</v>
      </c>
      <c r="G124" s="11"/>
      <c r="I124" s="37">
        <f t="shared" si="4"/>
        <v>4.3500000000000004E-2</v>
      </c>
      <c r="J124" s="11">
        <f>I124*F124</f>
        <v>-8700</v>
      </c>
      <c r="K124" s="33">
        <f>D124*E$110</f>
        <v>3787.829999999999</v>
      </c>
      <c r="L124" s="11">
        <v>0</v>
      </c>
      <c r="M124">
        <v>0</v>
      </c>
      <c r="N124" s="37">
        <f>F115</f>
        <v>4.3500000000000004E-2</v>
      </c>
      <c r="O124" s="11">
        <f t="shared" si="7"/>
        <v>-8700</v>
      </c>
      <c r="P124" s="33">
        <f t="shared" si="6"/>
        <v>2840.872499999999</v>
      </c>
      <c r="Q124" s="11">
        <f>J124+O124+K124+P124</f>
        <v>-10771.297500000002</v>
      </c>
      <c r="R124" s="11">
        <f t="shared" si="8"/>
        <v>-199999.99999999997</v>
      </c>
      <c r="S124" s="11">
        <f>R124+Q124</f>
        <v>-210771.29749999999</v>
      </c>
      <c r="T124" s="11">
        <f>D124+S124</f>
        <v>-84510.297500000015</v>
      </c>
      <c r="U124" s="11">
        <v>350000</v>
      </c>
      <c r="V124" s="11">
        <f>T124+Sale_price+U124</f>
        <v>680489.70250000001</v>
      </c>
    </row>
    <row r="125" spans="1:22" ht="16.5" thickBot="1" x14ac:dyDescent="0.3">
      <c r="B125" s="6"/>
      <c r="D125" s="11">
        <f>B$110+E125</f>
        <v>80000</v>
      </c>
      <c r="E125" s="11">
        <v>-300000</v>
      </c>
      <c r="F125" s="11">
        <f>-(B$111+E125)</f>
        <v>-153739</v>
      </c>
      <c r="G125" s="11"/>
      <c r="I125" s="38">
        <f>E$115</f>
        <v>4.3500000000000004E-2</v>
      </c>
      <c r="J125" s="39">
        <f>I125*F125</f>
        <v>-6687.6465000000007</v>
      </c>
      <c r="K125" s="34">
        <f>D125*E$110</f>
        <v>2400</v>
      </c>
      <c r="L125" s="11">
        <v>0</v>
      </c>
      <c r="M125">
        <v>0</v>
      </c>
      <c r="N125" s="38">
        <f>F$115</f>
        <v>4.3500000000000004E-2</v>
      </c>
      <c r="O125" s="39">
        <f t="shared" si="7"/>
        <v>-6687.6465000000007</v>
      </c>
      <c r="P125" s="34">
        <f t="shared" si="6"/>
        <v>1800</v>
      </c>
      <c r="Q125" s="11">
        <f>J125+O125+K125+P125</f>
        <v>-9175.2930000000015</v>
      </c>
      <c r="R125" s="11">
        <f t="shared" si="8"/>
        <v>-153739</v>
      </c>
      <c r="S125" s="11">
        <f>R125+Q125</f>
        <v>-162914.29300000001</v>
      </c>
      <c r="T125" s="11">
        <f>D125+S125</f>
        <v>-82914.293000000005</v>
      </c>
      <c r="U125" s="11">
        <v>350000</v>
      </c>
      <c r="V125" s="11">
        <f>T125+Sale_price+U125</f>
        <v>682085.70699999994</v>
      </c>
    </row>
    <row r="126" spans="1:22" ht="17.25" thickTop="1" thickBot="1" x14ac:dyDescent="0.3">
      <c r="B126" s="6"/>
      <c r="D126" s="11"/>
    </row>
    <row r="127" spans="1:22" ht="16.5" thickTop="1" x14ac:dyDescent="0.25">
      <c r="A127" s="2" t="s">
        <v>179</v>
      </c>
      <c r="B127" s="6"/>
      <c r="D127" t="s">
        <v>162</v>
      </c>
      <c r="E127" t="s">
        <v>163</v>
      </c>
      <c r="F127" t="s">
        <v>99</v>
      </c>
      <c r="G127" t="s">
        <v>183</v>
      </c>
      <c r="H127" t="s">
        <v>186</v>
      </c>
      <c r="I127" s="35" t="s">
        <v>168</v>
      </c>
      <c r="J127" s="41" t="s">
        <v>187</v>
      </c>
      <c r="K127" s="36" t="s">
        <v>166</v>
      </c>
      <c r="L127" t="s">
        <v>170</v>
      </c>
      <c r="M127" t="s">
        <v>186</v>
      </c>
      <c r="N127" s="35" t="s">
        <v>168</v>
      </c>
      <c r="O127" s="41" t="s">
        <v>165</v>
      </c>
      <c r="P127" s="36" t="s">
        <v>166</v>
      </c>
      <c r="Q127" t="s">
        <v>171</v>
      </c>
      <c r="R127" t="s">
        <v>172</v>
      </c>
      <c r="S127" t="s">
        <v>167</v>
      </c>
      <c r="T127" t="s">
        <v>173</v>
      </c>
      <c r="U127" t="s">
        <v>175</v>
      </c>
      <c r="V127" t="s">
        <v>174</v>
      </c>
    </row>
    <row r="128" spans="1:22" x14ac:dyDescent="0.25">
      <c r="C128" s="11"/>
      <c r="D128" s="11">
        <f>B$110+(E128-G128)</f>
        <v>170000</v>
      </c>
      <c r="E128" s="11">
        <v>-125000</v>
      </c>
      <c r="F128" s="11">
        <f>-H128-(B$111+E128)</f>
        <v>-248739</v>
      </c>
      <c r="G128" s="11">
        <v>85000</v>
      </c>
      <c r="H128" s="11">
        <v>-80000</v>
      </c>
      <c r="I128" s="37" t="str">
        <f>E$8</f>
        <v>Triodos HST</v>
      </c>
      <c r="J128" s="11" t="e">
        <f>(I128*F128)+(H128*(I128+E$113))</f>
        <v>#VALUE!</v>
      </c>
      <c r="K128" s="33">
        <f>D128*$E$110</f>
        <v>5100</v>
      </c>
      <c r="L128" s="11">
        <v>80000</v>
      </c>
      <c r="M128" s="11">
        <f>H128+L128</f>
        <v>0</v>
      </c>
      <c r="N128" s="37" t="str">
        <f>F$8</f>
        <v>Cash ISA</v>
      </c>
      <c r="O128" s="11" t="e">
        <f>(F128*N128)+M128*(N128+F$113)</f>
        <v>#VALUE!</v>
      </c>
      <c r="P128" s="33">
        <f>D128*F$110</f>
        <v>3825</v>
      </c>
      <c r="Q128" s="11" t="e">
        <f>J128+O128+K128+P128</f>
        <v>#VALUE!</v>
      </c>
      <c r="R128" s="11">
        <f>F128</f>
        <v>-248739</v>
      </c>
      <c r="S128" s="11" t="e">
        <f>R128+Q128</f>
        <v>#VALUE!</v>
      </c>
      <c r="T128" s="11" t="e">
        <f>D128+S128+(G128+M128)</f>
        <v>#VALUE!</v>
      </c>
      <c r="U128" s="11">
        <v>350000</v>
      </c>
      <c r="V128" s="11" t="e">
        <f>T128+A$4+U128</f>
        <v>#VALUE!</v>
      </c>
    </row>
    <row r="129" spans="1:22" x14ac:dyDescent="0.25">
      <c r="C129" s="11"/>
      <c r="D129" s="11">
        <f>B$110+(E129-G129)</f>
        <v>145000</v>
      </c>
      <c r="E129" s="11">
        <v>-150000</v>
      </c>
      <c r="F129" s="11">
        <f>-H129-(B$111+E129)</f>
        <v>-223739</v>
      </c>
      <c r="G129" s="11">
        <v>85000</v>
      </c>
      <c r="H129" s="11">
        <v>-80000</v>
      </c>
      <c r="I129" s="37" t="str">
        <f>E$8</f>
        <v>Triodos HST</v>
      </c>
      <c r="J129" s="11" t="e">
        <f t="shared" ref="J129:J131" si="9">(I129*F129)+(H129*(I129+E$113))</f>
        <v>#VALUE!</v>
      </c>
      <c r="K129" s="33">
        <f>D129*$E$110</f>
        <v>4350</v>
      </c>
      <c r="L129" s="11">
        <v>80000</v>
      </c>
      <c r="M129" s="11">
        <f t="shared" ref="M129:M131" si="10">H129+L129</f>
        <v>0</v>
      </c>
      <c r="N129" s="37" t="str">
        <f>F$8</f>
        <v>Cash ISA</v>
      </c>
      <c r="O129" s="11" t="e">
        <f t="shared" ref="O129:O130" si="11">(F129*N129)+M129*(N129+F$113)</f>
        <v>#VALUE!</v>
      </c>
      <c r="P129" s="33">
        <f t="shared" ref="P129:P131" si="12">D129*F$110</f>
        <v>3262.5</v>
      </c>
      <c r="Q129" s="11" t="e">
        <f>J129+O129+K129+P129</f>
        <v>#VALUE!</v>
      </c>
      <c r="R129" s="11">
        <f>F129</f>
        <v>-223739</v>
      </c>
      <c r="S129" s="11" t="e">
        <f>R129+Q129</f>
        <v>#VALUE!</v>
      </c>
      <c r="T129" s="11" t="e">
        <f t="shared" ref="T129:T131" si="13">D129+S129+(G129+M129)</f>
        <v>#VALUE!</v>
      </c>
      <c r="U129" s="11">
        <v>350000</v>
      </c>
      <c r="V129" s="11" t="e">
        <f>T129+A$4+U129</f>
        <v>#VALUE!</v>
      </c>
    </row>
    <row r="130" spans="1:22" x14ac:dyDescent="0.25">
      <c r="C130" s="11"/>
      <c r="D130" s="11">
        <f>B$110+(E130-G130)</f>
        <v>110000</v>
      </c>
      <c r="E130" s="11">
        <v>-185000</v>
      </c>
      <c r="F130" s="11">
        <f>-H130-(B$111+E130)</f>
        <v>-188739</v>
      </c>
      <c r="G130" s="11">
        <v>85000</v>
      </c>
      <c r="H130" s="11">
        <v>-80000</v>
      </c>
      <c r="I130" s="37" t="str">
        <f>E$8</f>
        <v>Triodos HST</v>
      </c>
      <c r="J130" s="11" t="e">
        <f t="shared" si="9"/>
        <v>#VALUE!</v>
      </c>
      <c r="K130" s="33">
        <f>D130*$E$110</f>
        <v>3300</v>
      </c>
      <c r="L130" s="11">
        <v>80000</v>
      </c>
      <c r="M130" s="11">
        <f t="shared" si="10"/>
        <v>0</v>
      </c>
      <c r="N130" s="37" t="str">
        <f>F$8</f>
        <v>Cash ISA</v>
      </c>
      <c r="O130" s="11" t="e">
        <f t="shared" si="11"/>
        <v>#VALUE!</v>
      </c>
      <c r="P130" s="33">
        <f t="shared" si="12"/>
        <v>2475</v>
      </c>
      <c r="Q130" s="11" t="e">
        <f t="shared" ref="Q130:Q131" si="14">J130+O130+K130+P130</f>
        <v>#VALUE!</v>
      </c>
      <c r="R130" s="11">
        <f>F130</f>
        <v>-188739</v>
      </c>
      <c r="S130" s="11" t="e">
        <f t="shared" ref="S130:S131" si="15">R130+Q130</f>
        <v>#VALUE!</v>
      </c>
      <c r="T130" s="11" t="e">
        <f t="shared" si="13"/>
        <v>#VALUE!</v>
      </c>
      <c r="U130" s="11">
        <v>350000</v>
      </c>
      <c r="V130" s="11" t="e">
        <f>T130+A$4+U130</f>
        <v>#VALUE!</v>
      </c>
    </row>
    <row r="131" spans="1:22" ht="16.5" thickBot="1" x14ac:dyDescent="0.3">
      <c r="D131" s="11">
        <f>B$110+(E131-G131)</f>
        <v>95000</v>
      </c>
      <c r="E131" s="11">
        <v>-200000</v>
      </c>
      <c r="F131" s="11">
        <f>-H131-(B$111+E131)</f>
        <v>-173739</v>
      </c>
      <c r="G131" s="11">
        <v>85000</v>
      </c>
      <c r="H131" s="11">
        <v>-80000</v>
      </c>
      <c r="I131" s="38" t="str">
        <f>E$8</f>
        <v>Triodos HST</v>
      </c>
      <c r="J131" s="39" t="e">
        <f t="shared" si="9"/>
        <v>#VALUE!</v>
      </c>
      <c r="K131" s="34">
        <f>D131*$E$110</f>
        <v>2850</v>
      </c>
      <c r="L131" s="11">
        <v>80000</v>
      </c>
      <c r="M131" s="11">
        <f t="shared" si="10"/>
        <v>0</v>
      </c>
      <c r="N131" s="38" t="str">
        <f>F$8</f>
        <v>Cash ISA</v>
      </c>
      <c r="O131" s="39" t="e">
        <f>(F131*N131)+M131*(N131+F$113)</f>
        <v>#VALUE!</v>
      </c>
      <c r="P131" s="34">
        <f t="shared" si="12"/>
        <v>2137.5</v>
      </c>
      <c r="Q131" s="11" t="e">
        <f t="shared" si="14"/>
        <v>#VALUE!</v>
      </c>
      <c r="R131" s="11">
        <f>F131</f>
        <v>-173739</v>
      </c>
      <c r="S131" s="11" t="e">
        <f t="shared" si="15"/>
        <v>#VALUE!</v>
      </c>
      <c r="T131" s="11" t="e">
        <f t="shared" si="13"/>
        <v>#VALUE!</v>
      </c>
      <c r="U131" s="11">
        <v>350000</v>
      </c>
      <c r="V131" s="11" t="e">
        <f>T131+A$4+U131</f>
        <v>#VALUE!</v>
      </c>
    </row>
    <row r="132" spans="1:22" ht="16.5" thickTop="1" x14ac:dyDescent="0.25">
      <c r="D132" s="11"/>
      <c r="E132" s="11"/>
      <c r="F132" s="11"/>
      <c r="G132" s="11"/>
      <c r="H132" s="6"/>
      <c r="I132" s="11"/>
      <c r="J132" s="11"/>
      <c r="K132" s="11"/>
      <c r="M132" s="6"/>
      <c r="N132" s="11"/>
      <c r="O132" s="11"/>
      <c r="P132" s="11"/>
      <c r="Q132" s="11"/>
      <c r="R132" s="11"/>
      <c r="S132" s="11"/>
      <c r="T132" s="11"/>
      <c r="U132" s="11"/>
    </row>
    <row r="133" spans="1:22" x14ac:dyDescent="0.25">
      <c r="D133" s="11"/>
      <c r="E133" s="11"/>
      <c r="F133" s="11"/>
      <c r="G133" s="11"/>
      <c r="H133" s="6"/>
      <c r="I133" s="11"/>
      <c r="J133" s="11"/>
      <c r="K133" s="11"/>
      <c r="M133" s="6"/>
      <c r="N133" s="11"/>
      <c r="O133" s="11"/>
      <c r="P133" s="11"/>
      <c r="Q133" s="11"/>
      <c r="R133" s="11"/>
      <c r="S133" s="11"/>
      <c r="T133" s="11"/>
      <c r="U133" s="11"/>
    </row>
    <row r="134" spans="1:22" x14ac:dyDescent="0.25">
      <c r="D134" s="11"/>
      <c r="E134" s="11"/>
      <c r="F134" s="11"/>
      <c r="G134" s="6"/>
      <c r="H134" s="11"/>
      <c r="I134" s="11"/>
      <c r="J134" s="11"/>
      <c r="L134" s="6"/>
      <c r="M134" s="11"/>
      <c r="N134" s="11"/>
      <c r="O134" s="11"/>
      <c r="P134" s="11"/>
      <c r="Q134" s="11"/>
      <c r="R134" s="11"/>
      <c r="S134" s="11"/>
      <c r="T134" s="11"/>
      <c r="U134" t="s">
        <v>190</v>
      </c>
      <c r="V134" s="11">
        <f>V121-V123</f>
        <v>71831.793000000063</v>
      </c>
    </row>
    <row r="135" spans="1:22" x14ac:dyDescent="0.25">
      <c r="A135" t="s">
        <v>194</v>
      </c>
      <c r="U135" t="s">
        <v>191</v>
      </c>
      <c r="V135" s="11">
        <f>V134/24</f>
        <v>2992.9913750000028</v>
      </c>
    </row>
    <row r="136" spans="1:22" x14ac:dyDescent="0.25">
      <c r="A136" t="s">
        <v>157</v>
      </c>
      <c r="B136" t="s">
        <v>188</v>
      </c>
    </row>
    <row r="137" spans="1:22" x14ac:dyDescent="0.25">
      <c r="A137" t="s">
        <v>158</v>
      </c>
      <c r="B137" t="s">
        <v>192</v>
      </c>
    </row>
    <row r="138" spans="1:22" x14ac:dyDescent="0.25">
      <c r="A138" t="s">
        <v>185</v>
      </c>
      <c r="B138" t="s">
        <v>189</v>
      </c>
    </row>
    <row r="139" spans="1:22" x14ac:dyDescent="0.25">
      <c r="A139" t="s">
        <v>185</v>
      </c>
      <c r="B139" t="s">
        <v>193</v>
      </c>
    </row>
    <row r="140" spans="1:22" x14ac:dyDescent="0.25">
      <c r="A140" t="s">
        <v>184</v>
      </c>
      <c r="B140" t="s">
        <v>195</v>
      </c>
    </row>
  </sheetData>
  <mergeCells count="5">
    <mergeCell ref="A1:F1"/>
    <mergeCell ref="A2:F2"/>
    <mergeCell ref="A101:E107"/>
    <mergeCell ref="N119:P119"/>
    <mergeCell ref="I119:K119"/>
  </mergeCells>
  <pageMargins left="0.25" right="0.25" top="0.75" bottom="0.75" header="0.3" footer="0.3"/>
  <pageSetup paperSize="9" scale="64" fitToHeight="0" orientation="portrait" horizontalDpi="4294967293" verticalDpi="0" r:id="rId1"/>
  <rowBreaks count="1" manualBreakCount="1">
    <brk id="6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E406-B41B-4B1F-96AC-7FEDB5F02C2B}">
  <dimension ref="A1:V33"/>
  <sheetViews>
    <sheetView topLeftCell="A11" workbookViewId="0">
      <selection activeCell="V21" sqref="V21:V24"/>
    </sheetView>
  </sheetViews>
  <sheetFormatPr defaultRowHeight="15.75" x14ac:dyDescent="0.25"/>
  <cols>
    <col min="1" max="1" width="8.625" customWidth="1"/>
    <col min="2" max="2" width="10.875" customWidth="1"/>
    <col min="3" max="3" width="10" customWidth="1"/>
    <col min="4" max="6" width="12.375" customWidth="1"/>
    <col min="7" max="8" width="10.75" customWidth="1"/>
    <col min="10" max="10" width="9.75" customWidth="1"/>
    <col min="12" max="12" width="10.375" customWidth="1"/>
    <col min="15" max="15" width="9.625" customWidth="1"/>
    <col min="17" max="22" width="11.625" customWidth="1"/>
  </cols>
  <sheetData>
    <row r="1" spans="1:22" x14ac:dyDescent="0.25">
      <c r="D1" s="26"/>
      <c r="E1" s="26" t="s">
        <v>164</v>
      </c>
      <c r="F1" t="s">
        <v>176</v>
      </c>
    </row>
    <row r="2" spans="1:22" x14ac:dyDescent="0.25">
      <c r="A2" s="26" t="s">
        <v>118</v>
      </c>
      <c r="B2" s="11">
        <v>300000</v>
      </c>
      <c r="D2" t="s">
        <v>169</v>
      </c>
      <c r="E2" s="6">
        <v>0.03</v>
      </c>
      <c r="F2" s="6">
        <v>2.2499999999999999E-2</v>
      </c>
      <c r="G2" s="6">
        <f>E2+0.5%</f>
        <v>3.4999999999999996E-2</v>
      </c>
    </row>
    <row r="3" spans="1:22" x14ac:dyDescent="0.25">
      <c r="A3" t="s">
        <v>25</v>
      </c>
      <c r="B3" s="11">
        <v>385000</v>
      </c>
      <c r="D3" s="11" t="s">
        <v>133</v>
      </c>
      <c r="E3" s="6">
        <v>0.04</v>
      </c>
      <c r="F3" s="6">
        <v>3.5000000000000003E-2</v>
      </c>
      <c r="G3" s="6">
        <f t="shared" ref="G3:G4" si="0">E3+0.5%</f>
        <v>4.4999999999999998E-2</v>
      </c>
    </row>
    <row r="4" spans="1:22" x14ac:dyDescent="0.25">
      <c r="A4" s="6" t="s">
        <v>199</v>
      </c>
      <c r="B4" s="11">
        <v>350000</v>
      </c>
      <c r="D4" s="11" t="s">
        <v>198</v>
      </c>
      <c r="E4" s="6">
        <v>4.36E-2</v>
      </c>
      <c r="F4" s="6">
        <v>3.8600000000000002E-2</v>
      </c>
      <c r="G4" s="6">
        <f t="shared" si="0"/>
        <v>4.8599999999999997E-2</v>
      </c>
    </row>
    <row r="5" spans="1:22" x14ac:dyDescent="0.25">
      <c r="D5" s="11" t="s">
        <v>145</v>
      </c>
      <c r="E5" s="6">
        <v>5.0000000000000001E-3</v>
      </c>
      <c r="F5" s="6">
        <v>5.0000000000000001E-3</v>
      </c>
    </row>
    <row r="6" spans="1:22" x14ac:dyDescent="0.25">
      <c r="D6" s="11" t="s">
        <v>135</v>
      </c>
      <c r="E6" s="6">
        <v>8.5000000000000006E-3</v>
      </c>
      <c r="F6" s="6">
        <v>8.5000000000000006E-3</v>
      </c>
    </row>
    <row r="7" spans="1:22" ht="6" customHeight="1" thickBot="1" x14ac:dyDescent="0.3">
      <c r="A7" s="43"/>
      <c r="B7" s="43"/>
      <c r="C7" s="43"/>
      <c r="D7" s="44"/>
      <c r="E7" s="45"/>
      <c r="F7" s="45"/>
    </row>
    <row r="8" spans="1:22" ht="15.75" customHeight="1" thickBot="1" x14ac:dyDescent="0.3">
      <c r="A8" s="59" t="s">
        <v>177</v>
      </c>
      <c r="B8" s="59"/>
      <c r="C8" s="59"/>
      <c r="D8" s="46"/>
      <c r="E8" s="47">
        <f>E3+E6</f>
        <v>4.8500000000000001E-2</v>
      </c>
      <c r="F8" s="47">
        <f>F3+F6</f>
        <v>4.3500000000000004E-2</v>
      </c>
    </row>
    <row r="9" spans="1:22" ht="16.5" customHeight="1" thickBot="1" x14ac:dyDescent="0.3">
      <c r="A9" s="59" t="s">
        <v>180</v>
      </c>
      <c r="B9" s="59"/>
      <c r="C9" s="59"/>
      <c r="D9" s="48" t="s">
        <v>181</v>
      </c>
      <c r="E9" s="47">
        <f>E4+E6</f>
        <v>5.21E-2</v>
      </c>
      <c r="F9" s="47">
        <f>F4+F6</f>
        <v>4.7100000000000003E-2</v>
      </c>
    </row>
    <row r="10" spans="1:22" ht="16.5" thickBot="1" x14ac:dyDescent="0.3">
      <c r="A10" s="49"/>
      <c r="B10" s="50"/>
      <c r="C10" s="51"/>
      <c r="D10" s="48" t="s">
        <v>182</v>
      </c>
      <c r="E10" s="47">
        <f>E9+E5</f>
        <v>5.7099999999999998E-2</v>
      </c>
      <c r="F10" s="47">
        <f>F9+F5</f>
        <v>5.21E-2</v>
      </c>
      <c r="G10" s="6"/>
      <c r="N10" s="40"/>
      <c r="O10" s="40"/>
      <c r="P10" s="40"/>
    </row>
    <row r="11" spans="1:22" ht="16.5" thickBot="1" x14ac:dyDescent="0.3">
      <c r="B11" s="6"/>
      <c r="G11" s="6"/>
      <c r="N11" s="42"/>
      <c r="O11" s="42"/>
      <c r="P11" s="42"/>
    </row>
    <row r="12" spans="1:22" ht="16.5" thickTop="1" x14ac:dyDescent="0.25">
      <c r="B12" s="6"/>
      <c r="D12" s="11"/>
      <c r="I12" s="55" t="s">
        <v>164</v>
      </c>
      <c r="J12" s="56"/>
      <c r="K12" s="57"/>
      <c r="N12" s="55" t="s">
        <v>176</v>
      </c>
      <c r="O12" s="56"/>
      <c r="P12" s="57"/>
    </row>
    <row r="13" spans="1:22" x14ac:dyDescent="0.25">
      <c r="A13" s="2" t="s">
        <v>161</v>
      </c>
      <c r="B13" s="6"/>
      <c r="D13" t="s">
        <v>162</v>
      </c>
      <c r="E13" t="s">
        <v>163</v>
      </c>
      <c r="F13" t="s">
        <v>99</v>
      </c>
      <c r="I13" s="31" t="s">
        <v>168</v>
      </c>
      <c r="J13" t="s">
        <v>165</v>
      </c>
      <c r="K13" s="32" t="s">
        <v>166</v>
      </c>
      <c r="L13" t="s">
        <v>170</v>
      </c>
      <c r="M13" t="s">
        <v>186</v>
      </c>
      <c r="N13" s="31" t="s">
        <v>168</v>
      </c>
      <c r="O13" t="s">
        <v>165</v>
      </c>
      <c r="P13" s="32" t="s">
        <v>166</v>
      </c>
      <c r="Q13" t="s">
        <v>171</v>
      </c>
      <c r="R13" t="s">
        <v>172</v>
      </c>
      <c r="S13" t="s">
        <v>167</v>
      </c>
      <c r="T13" t="s">
        <v>173</v>
      </c>
      <c r="U13" t="s">
        <v>175</v>
      </c>
      <c r="V13" t="s">
        <v>174</v>
      </c>
    </row>
    <row r="14" spans="1:22" x14ac:dyDescent="0.25">
      <c r="A14" s="2" t="s">
        <v>196</v>
      </c>
      <c r="B14" s="6"/>
      <c r="D14" s="11">
        <v>300000</v>
      </c>
      <c r="E14">
        <v>0</v>
      </c>
      <c r="F14">
        <v>0</v>
      </c>
      <c r="I14" s="37">
        <f>E2</f>
        <v>0.03</v>
      </c>
      <c r="J14" s="11">
        <v>0</v>
      </c>
      <c r="K14" s="33">
        <f>D14*$E$2</f>
        <v>9000</v>
      </c>
      <c r="L14" s="11">
        <v>80000</v>
      </c>
      <c r="M14" s="33">
        <v>0</v>
      </c>
      <c r="N14" s="37">
        <f>F2</f>
        <v>2.2499999999999999E-2</v>
      </c>
      <c r="O14" s="11">
        <f>(F14+L14)*N14</f>
        <v>1800</v>
      </c>
      <c r="P14" s="33">
        <f>D14*F$2</f>
        <v>6750</v>
      </c>
      <c r="Q14" s="11">
        <f>J14+O14+K14+P14</f>
        <v>17550</v>
      </c>
      <c r="R14" s="11">
        <f>L14</f>
        <v>80000</v>
      </c>
      <c r="S14" s="11">
        <f>R14+Q14</f>
        <v>97550</v>
      </c>
      <c r="T14" s="11">
        <f>D14+S14</f>
        <v>397550</v>
      </c>
      <c r="U14" s="11">
        <v>350000</v>
      </c>
      <c r="V14" s="11">
        <f>T14+U14</f>
        <v>747550</v>
      </c>
    </row>
    <row r="15" spans="1:22" x14ac:dyDescent="0.25">
      <c r="B15" s="6"/>
      <c r="D15" s="11">
        <f>B$2+E15</f>
        <v>135000</v>
      </c>
      <c r="E15" s="11">
        <v>-165000</v>
      </c>
      <c r="F15" s="11">
        <f>-(B$3+E15)</f>
        <v>-220000</v>
      </c>
      <c r="G15" s="11"/>
      <c r="I15" s="37">
        <f>E$8</f>
        <v>4.8500000000000001E-2</v>
      </c>
      <c r="J15" s="11">
        <f>I15*F15</f>
        <v>-10670</v>
      </c>
      <c r="K15" s="33">
        <f>D15*$E$2</f>
        <v>4050</v>
      </c>
      <c r="L15" s="11">
        <v>80000</v>
      </c>
      <c r="M15" s="33">
        <v>0</v>
      </c>
      <c r="N15" s="37">
        <f>F$8</f>
        <v>4.3500000000000004E-2</v>
      </c>
      <c r="O15" s="11">
        <f>(F15+L15)*N15</f>
        <v>-6090.0000000000009</v>
      </c>
      <c r="P15" s="33">
        <f>D15*F$2</f>
        <v>3037.5</v>
      </c>
      <c r="Q15" s="11">
        <f>J15+O15+K15+P15</f>
        <v>-9672.5</v>
      </c>
      <c r="R15" s="11">
        <f>F15+L15</f>
        <v>-140000</v>
      </c>
      <c r="S15" s="11">
        <f>R15+Q15</f>
        <v>-149672.5</v>
      </c>
      <c r="T15" s="11">
        <f>D15+S15</f>
        <v>-14672.5</v>
      </c>
      <c r="U15" s="11">
        <v>350000</v>
      </c>
      <c r="V15" s="11">
        <f>T15+B$4+U15</f>
        <v>685327.5</v>
      </c>
    </row>
    <row r="16" spans="1:22" x14ac:dyDescent="0.25">
      <c r="B16" s="6"/>
      <c r="D16" s="11">
        <f>B$2+E16</f>
        <v>115000</v>
      </c>
      <c r="E16" s="11">
        <v>-185000</v>
      </c>
      <c r="F16" s="11">
        <f>-(B$3+E16)</f>
        <v>-200000</v>
      </c>
      <c r="G16" s="11"/>
      <c r="I16" s="37">
        <f>E$8</f>
        <v>4.8500000000000001E-2</v>
      </c>
      <c r="J16" s="11">
        <f>I16*F16</f>
        <v>-9700</v>
      </c>
      <c r="K16" s="33">
        <f>D16*$E$2</f>
        <v>3450</v>
      </c>
      <c r="L16" s="11">
        <v>80000</v>
      </c>
      <c r="M16" s="33">
        <v>0</v>
      </c>
      <c r="N16" s="37">
        <f>F$8</f>
        <v>4.3500000000000004E-2</v>
      </c>
      <c r="O16" s="11">
        <f t="shared" ref="O16:O18" si="1">(F16+L16)*N16</f>
        <v>-5220.0000000000009</v>
      </c>
      <c r="P16" s="33">
        <f>D16*F$2</f>
        <v>2587.5</v>
      </c>
      <c r="Q16" s="11">
        <f>J16+O16+K16+P16</f>
        <v>-8882.5</v>
      </c>
      <c r="R16" s="11">
        <f t="shared" ref="R16:R18" si="2">F16+L16</f>
        <v>-120000</v>
      </c>
      <c r="S16" s="11">
        <f>R16+Q16</f>
        <v>-128882.5</v>
      </c>
      <c r="T16" s="11">
        <f>D16+S16</f>
        <v>-13882.5</v>
      </c>
      <c r="U16" s="11">
        <v>350000</v>
      </c>
      <c r="V16" s="11">
        <f t="shared" ref="V16:V18" si="3">T16+B$4+U16</f>
        <v>686117.5</v>
      </c>
    </row>
    <row r="17" spans="1:22" x14ac:dyDescent="0.25">
      <c r="B17" s="6"/>
      <c r="D17" s="11">
        <f>B$2+E17</f>
        <v>100000</v>
      </c>
      <c r="E17" s="11">
        <v>-200000</v>
      </c>
      <c r="F17" s="11">
        <f>-(B$3+E17)</f>
        <v>-185000</v>
      </c>
      <c r="G17" s="11"/>
      <c r="I17" s="37">
        <f>E$8</f>
        <v>4.8500000000000001E-2</v>
      </c>
      <c r="J17" s="11">
        <f>I17*F17</f>
        <v>-8972.5</v>
      </c>
      <c r="K17" s="33">
        <f>D17*E$2</f>
        <v>3000</v>
      </c>
      <c r="L17" s="11">
        <v>80000</v>
      </c>
      <c r="M17" s="33">
        <v>0</v>
      </c>
      <c r="N17" s="37">
        <f>F8</f>
        <v>4.3500000000000004E-2</v>
      </c>
      <c r="O17" s="11">
        <f t="shared" si="1"/>
        <v>-4567.5</v>
      </c>
      <c r="P17" s="33">
        <f>D17*F$2</f>
        <v>2250</v>
      </c>
      <c r="Q17" s="11">
        <f>J17+O17+K17+P17</f>
        <v>-8290</v>
      </c>
      <c r="R17" s="11">
        <f t="shared" si="2"/>
        <v>-105000</v>
      </c>
      <c r="S17" s="11">
        <f>R17+Q17</f>
        <v>-113290</v>
      </c>
      <c r="T17" s="11">
        <f>D17+S17</f>
        <v>-13290</v>
      </c>
      <c r="U17" s="11">
        <v>350000</v>
      </c>
      <c r="V17" s="11">
        <f t="shared" si="3"/>
        <v>686710</v>
      </c>
    </row>
    <row r="18" spans="1:22" ht="16.5" thickBot="1" x14ac:dyDescent="0.3">
      <c r="B18" s="6"/>
      <c r="D18" s="11">
        <f>B$2+E18</f>
        <v>0</v>
      </c>
      <c r="E18" s="11">
        <v>-300000</v>
      </c>
      <c r="F18" s="11">
        <f>-(B$3+E18)</f>
        <v>-85000</v>
      </c>
      <c r="G18" s="11"/>
      <c r="I18" s="38">
        <f>E$8</f>
        <v>4.8500000000000001E-2</v>
      </c>
      <c r="J18" s="39">
        <f>I18*F18</f>
        <v>-4122.5</v>
      </c>
      <c r="K18" s="34">
        <f>D18*E$2</f>
        <v>0</v>
      </c>
      <c r="L18" s="11">
        <v>80000</v>
      </c>
      <c r="M18" s="33">
        <v>0</v>
      </c>
      <c r="N18" s="38">
        <f>F$8</f>
        <v>4.3500000000000004E-2</v>
      </c>
      <c r="O18" s="39">
        <f t="shared" si="1"/>
        <v>-217.50000000000003</v>
      </c>
      <c r="P18" s="34">
        <f>D18*F$2</f>
        <v>0</v>
      </c>
      <c r="Q18" s="11">
        <f>J18+O18+K18+P18</f>
        <v>-4340</v>
      </c>
      <c r="R18" s="11">
        <f t="shared" si="2"/>
        <v>-5000</v>
      </c>
      <c r="S18" s="11">
        <f>R18+Q18</f>
        <v>-9340</v>
      </c>
      <c r="T18" s="11">
        <f>D18+S18</f>
        <v>-9340</v>
      </c>
      <c r="U18" s="11">
        <v>350000</v>
      </c>
      <c r="V18" s="11">
        <f t="shared" si="3"/>
        <v>690660</v>
      </c>
    </row>
    <row r="19" spans="1:22" ht="17.25" thickTop="1" thickBot="1" x14ac:dyDescent="0.3">
      <c r="B19" s="6"/>
      <c r="D19" s="11"/>
    </row>
    <row r="20" spans="1:22" ht="16.5" thickTop="1" x14ac:dyDescent="0.25">
      <c r="A20" s="58" t="s">
        <v>197</v>
      </c>
      <c r="B20" s="58"/>
      <c r="C20" s="58"/>
      <c r="D20" t="s">
        <v>162</v>
      </c>
      <c r="E20" t="s">
        <v>163</v>
      </c>
      <c r="F20" t="s">
        <v>99</v>
      </c>
      <c r="G20" t="s">
        <v>183</v>
      </c>
      <c r="H20" t="s">
        <v>186</v>
      </c>
      <c r="I20" s="35" t="s">
        <v>168</v>
      </c>
      <c r="J20" s="41" t="s">
        <v>187</v>
      </c>
      <c r="K20" s="36" t="s">
        <v>166</v>
      </c>
      <c r="L20" t="s">
        <v>170</v>
      </c>
      <c r="M20" t="s">
        <v>186</v>
      </c>
      <c r="N20" s="35" t="s">
        <v>168</v>
      </c>
      <c r="O20" s="41" t="s">
        <v>165</v>
      </c>
      <c r="P20" s="36" t="s">
        <v>166</v>
      </c>
      <c r="Q20" t="s">
        <v>171</v>
      </c>
      <c r="R20" t="s">
        <v>172</v>
      </c>
      <c r="S20" t="s">
        <v>167</v>
      </c>
      <c r="T20" t="s">
        <v>173</v>
      </c>
      <c r="U20" t="s">
        <v>175</v>
      </c>
      <c r="V20" t="s">
        <v>174</v>
      </c>
    </row>
    <row r="21" spans="1:22" x14ac:dyDescent="0.25">
      <c r="A21" s="58"/>
      <c r="B21" s="58"/>
      <c r="C21" s="58"/>
      <c r="D21" s="11">
        <f>B$2+(E21-G21)</f>
        <v>90000</v>
      </c>
      <c r="E21" s="11">
        <v>-125000</v>
      </c>
      <c r="F21" s="11">
        <f>-H21-(B$3+E21)</f>
        <v>-180000</v>
      </c>
      <c r="G21" s="11">
        <v>85000</v>
      </c>
      <c r="H21" s="11">
        <v>-80000</v>
      </c>
      <c r="I21" s="37">
        <f>E$9</f>
        <v>5.21E-2</v>
      </c>
      <c r="J21" s="11">
        <f>(I21*F21)+(H21*(I21+E$5))</f>
        <v>-13946</v>
      </c>
      <c r="K21" s="33">
        <f>D21*$E$2</f>
        <v>2700</v>
      </c>
      <c r="L21" s="11">
        <v>80000</v>
      </c>
      <c r="M21" s="11">
        <f>H21+L21</f>
        <v>0</v>
      </c>
      <c r="N21" s="37">
        <f>F$9</f>
        <v>4.7100000000000003E-2</v>
      </c>
      <c r="O21" s="11">
        <f>(F21*N21)+M21*(N21+F$5)</f>
        <v>-8478</v>
      </c>
      <c r="P21" s="33">
        <f>D21*F$2</f>
        <v>2025</v>
      </c>
      <c r="Q21" s="11">
        <f>J21+O21+K21+P21</f>
        <v>-17699</v>
      </c>
      <c r="R21" s="11">
        <f>F21</f>
        <v>-180000</v>
      </c>
      <c r="S21" s="11">
        <f>R21+Q21</f>
        <v>-197699</v>
      </c>
      <c r="T21" s="11">
        <f>D21+S21+(G21+M21)</f>
        <v>-22699</v>
      </c>
      <c r="U21" s="11">
        <v>350000</v>
      </c>
      <c r="V21" s="11">
        <f>T21+B$4+U21</f>
        <v>677301</v>
      </c>
    </row>
    <row r="22" spans="1:22" x14ac:dyDescent="0.25">
      <c r="C22" s="11"/>
      <c r="D22" s="11">
        <f>B$2+(E22-G22)</f>
        <v>65000</v>
      </c>
      <c r="E22" s="11">
        <v>-150000</v>
      </c>
      <c r="F22" s="11">
        <f>-H22-(B$3+E22)</f>
        <v>-155000</v>
      </c>
      <c r="G22" s="11">
        <v>85000</v>
      </c>
      <c r="H22" s="11">
        <v>-80000</v>
      </c>
      <c r="I22" s="37">
        <f>E$9</f>
        <v>5.21E-2</v>
      </c>
      <c r="J22" s="11">
        <f>(I22*F22)+(H22*(I22+E$5))</f>
        <v>-12643.5</v>
      </c>
      <c r="K22" s="33">
        <f>D22*$E$2</f>
        <v>1950</v>
      </c>
      <c r="L22" s="11">
        <v>80000</v>
      </c>
      <c r="M22" s="11">
        <f t="shared" ref="M22:M24" si="4">H22+L22</f>
        <v>0</v>
      </c>
      <c r="N22" s="37">
        <f>F$9</f>
        <v>4.7100000000000003E-2</v>
      </c>
      <c r="O22" s="11">
        <f>(F22*N22)+M22*(N22+F$5)</f>
        <v>-7300.5000000000009</v>
      </c>
      <c r="P22" s="33">
        <f>D22*F$2</f>
        <v>1462.5</v>
      </c>
      <c r="Q22" s="11">
        <f>J22+O22+K22+P22</f>
        <v>-16531.5</v>
      </c>
      <c r="R22" s="11">
        <f>F22</f>
        <v>-155000</v>
      </c>
      <c r="S22" s="11">
        <f>R22+Q22</f>
        <v>-171531.5</v>
      </c>
      <c r="T22" s="11">
        <f t="shared" ref="T22:T24" si="5">D22+S22+(G22+M22)</f>
        <v>-21531.5</v>
      </c>
      <c r="U22" s="11">
        <v>350000</v>
      </c>
      <c r="V22" s="11">
        <f t="shared" ref="V22:V24" si="6">T22+B$4+U22</f>
        <v>678468.5</v>
      </c>
    </row>
    <row r="23" spans="1:22" x14ac:dyDescent="0.25">
      <c r="C23" s="11"/>
      <c r="D23" s="11">
        <f>B$2+(E23-G23)</f>
        <v>30000</v>
      </c>
      <c r="E23" s="11">
        <v>-185000</v>
      </c>
      <c r="F23" s="11">
        <f>-H23-(B$3+E23)</f>
        <v>-120000</v>
      </c>
      <c r="G23" s="11">
        <v>85000</v>
      </c>
      <c r="H23" s="11">
        <v>-80000</v>
      </c>
      <c r="I23" s="37">
        <f>E$9</f>
        <v>5.21E-2</v>
      </c>
      <c r="J23" s="11">
        <f>(I23*F23)+(H23*(I23+E$5))</f>
        <v>-10820</v>
      </c>
      <c r="K23" s="33">
        <f>D23*$E$2</f>
        <v>900</v>
      </c>
      <c r="L23" s="11">
        <v>80000</v>
      </c>
      <c r="M23" s="11">
        <f t="shared" si="4"/>
        <v>0</v>
      </c>
      <c r="N23" s="37">
        <f>F$9</f>
        <v>4.7100000000000003E-2</v>
      </c>
      <c r="O23" s="11">
        <f>(F23*N23)+M23*(N23+F$5)</f>
        <v>-5652</v>
      </c>
      <c r="P23" s="33">
        <f>D23*F$2</f>
        <v>675</v>
      </c>
      <c r="Q23" s="11">
        <f t="shared" ref="Q23:Q24" si="7">J23+O23+K23+P23</f>
        <v>-14897</v>
      </c>
      <c r="R23" s="11">
        <f>F23</f>
        <v>-120000</v>
      </c>
      <c r="S23" s="11">
        <f t="shared" ref="S23:S24" si="8">R23+Q23</f>
        <v>-134897</v>
      </c>
      <c r="T23" s="11">
        <f t="shared" si="5"/>
        <v>-19897</v>
      </c>
      <c r="U23" s="11">
        <v>350000</v>
      </c>
      <c r="V23" s="11">
        <f t="shared" si="6"/>
        <v>680103</v>
      </c>
    </row>
    <row r="24" spans="1:22" ht="16.5" thickBot="1" x14ac:dyDescent="0.3">
      <c r="D24" s="11">
        <f>B$2+(E24-G24)</f>
        <v>15000</v>
      </c>
      <c r="E24" s="11">
        <v>-200000</v>
      </c>
      <c r="F24" s="11">
        <f>-H24-(B$3+E24)</f>
        <v>-105000</v>
      </c>
      <c r="G24" s="11">
        <v>85000</v>
      </c>
      <c r="H24" s="11">
        <v>-80000</v>
      </c>
      <c r="I24" s="38">
        <f>E$9</f>
        <v>5.21E-2</v>
      </c>
      <c r="J24" s="39">
        <f>(I24*F24)+(H24*(I24+E$5))</f>
        <v>-10038.5</v>
      </c>
      <c r="K24" s="34">
        <f>D24*$E$2</f>
        <v>450</v>
      </c>
      <c r="L24" s="11">
        <v>80000</v>
      </c>
      <c r="M24" s="11">
        <f t="shared" si="4"/>
        <v>0</v>
      </c>
      <c r="N24" s="38">
        <f>F$9</f>
        <v>4.7100000000000003E-2</v>
      </c>
      <c r="O24" s="39">
        <f>(F24*N24)+M24*(N24+F$5)</f>
        <v>-4945.5</v>
      </c>
      <c r="P24" s="34">
        <f>D24*F$2</f>
        <v>337.5</v>
      </c>
      <c r="Q24" s="11">
        <f t="shared" si="7"/>
        <v>-14196.5</v>
      </c>
      <c r="R24" s="11">
        <f>F24</f>
        <v>-105000</v>
      </c>
      <c r="S24" s="11">
        <f t="shared" si="8"/>
        <v>-119196.5</v>
      </c>
      <c r="T24" s="11">
        <f t="shared" si="5"/>
        <v>-19196.5</v>
      </c>
      <c r="U24" s="11">
        <v>350000</v>
      </c>
      <c r="V24" s="11">
        <f t="shared" si="6"/>
        <v>680803.5</v>
      </c>
    </row>
    <row r="25" spans="1:22" ht="16.5" thickTop="1" x14ac:dyDescent="0.25">
      <c r="D25" s="11"/>
      <c r="E25" s="11"/>
      <c r="F25" s="11"/>
      <c r="G25" s="11"/>
      <c r="H25" s="6"/>
      <c r="I25" s="11"/>
      <c r="J25" s="11"/>
      <c r="K25" s="11"/>
      <c r="M25" s="6"/>
      <c r="N25" s="11"/>
      <c r="O25" s="11"/>
      <c r="P25" s="11"/>
      <c r="Q25" s="11"/>
      <c r="R25" s="11"/>
      <c r="S25" s="11"/>
      <c r="T25" s="11"/>
      <c r="U25" s="11"/>
    </row>
    <row r="26" spans="1:22" x14ac:dyDescent="0.25">
      <c r="D26" s="11"/>
      <c r="E26" s="11"/>
      <c r="F26" s="11"/>
      <c r="G26" s="11"/>
      <c r="H26" s="6"/>
      <c r="I26" s="11"/>
      <c r="J26" s="11"/>
      <c r="K26" s="11"/>
      <c r="M26" s="6"/>
      <c r="N26" s="11"/>
      <c r="O26" s="11"/>
      <c r="P26" s="11"/>
      <c r="Q26" s="11"/>
      <c r="R26" s="11"/>
      <c r="S26" s="11"/>
      <c r="T26" s="11"/>
      <c r="U26" s="11"/>
    </row>
    <row r="27" spans="1:22" x14ac:dyDescent="0.25">
      <c r="D27" s="11"/>
      <c r="E27" s="11"/>
      <c r="F27" s="11"/>
      <c r="G27" s="6"/>
      <c r="H27" s="11"/>
      <c r="I27" s="11"/>
      <c r="J27" s="11"/>
      <c r="L27" s="6"/>
      <c r="M27" s="11"/>
      <c r="N27" s="11"/>
      <c r="O27" s="11"/>
      <c r="P27" s="11"/>
      <c r="Q27" s="11"/>
      <c r="R27" s="11"/>
      <c r="S27" s="11"/>
      <c r="T27" s="11"/>
      <c r="U27" t="s">
        <v>190</v>
      </c>
      <c r="V27" s="11">
        <f>V14-V16</f>
        <v>61432.5</v>
      </c>
    </row>
    <row r="28" spans="1:22" x14ac:dyDescent="0.25">
      <c r="A28" t="s">
        <v>194</v>
      </c>
      <c r="U28" t="s">
        <v>191</v>
      </c>
      <c r="V28" s="11">
        <f>V27/24</f>
        <v>2559.6875</v>
      </c>
    </row>
    <row r="29" spans="1:22" x14ac:dyDescent="0.25">
      <c r="A29" t="s">
        <v>157</v>
      </c>
      <c r="B29" t="s">
        <v>188</v>
      </c>
    </row>
    <row r="30" spans="1:22" x14ac:dyDescent="0.25">
      <c r="A30" t="s">
        <v>158</v>
      </c>
      <c r="B30" t="s">
        <v>192</v>
      </c>
    </row>
    <row r="31" spans="1:22" x14ac:dyDescent="0.25">
      <c r="A31" t="s">
        <v>185</v>
      </c>
      <c r="B31" t="s">
        <v>189</v>
      </c>
    </row>
    <row r="32" spans="1:22" x14ac:dyDescent="0.25">
      <c r="A32" t="s">
        <v>185</v>
      </c>
      <c r="B32" t="s">
        <v>193</v>
      </c>
    </row>
    <row r="33" spans="1:2" x14ac:dyDescent="0.25">
      <c r="A33" t="s">
        <v>184</v>
      </c>
      <c r="B33" t="s">
        <v>195</v>
      </c>
    </row>
  </sheetData>
  <mergeCells count="5">
    <mergeCell ref="I12:K12"/>
    <mergeCell ref="N12:P12"/>
    <mergeCell ref="A20:C21"/>
    <mergeCell ref="A8:C8"/>
    <mergeCell ref="A9: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12</vt:i4>
      </vt:variant>
    </vt:vector>
  </HeadingPairs>
  <TitlesOfParts>
    <vt:vector size="15" baseType="lpstr">
      <vt:lpstr>Sheet1</vt:lpstr>
      <vt:lpstr>Sheet2</vt:lpstr>
      <vt:lpstr>Sheet3</vt:lpstr>
      <vt:lpstr>allowance</vt:lpstr>
      <vt:lpstr>avg_int</vt:lpstr>
      <vt:lpstr>defer</vt:lpstr>
      <vt:lpstr>mrate</vt:lpstr>
      <vt:lpstr>normal</vt:lpstr>
      <vt:lpstr>off_incr</vt:lpstr>
      <vt:lpstr>offset</vt:lpstr>
      <vt:lpstr>rate</vt:lpstr>
      <vt:lpstr>Sale_price</vt:lpstr>
      <vt:lpstr>state</vt:lpstr>
      <vt:lpstr>vanilla</vt:lpstr>
      <vt:lpstr>years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WARD THOMPSON Catharine</dc:creator>
  <cp:lastModifiedBy>Henry Thompson</cp:lastModifiedBy>
  <cp:lastPrinted>2025-09-02T21:59:32Z</cp:lastPrinted>
  <dcterms:created xsi:type="dcterms:W3CDTF">2019-01-28T16:05:11Z</dcterms:created>
  <dcterms:modified xsi:type="dcterms:W3CDTF">2025-10-22T20:21:05Z</dcterms:modified>
</cp:coreProperties>
</file>