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13_ncr:1_{DE6B4931-EEC4-4055-A926-7329E95166CA}" xr6:coauthVersionLast="47" xr6:coauthVersionMax="47" xr10:uidLastSave="{00000000-0000-0000-0000-000000000000}"/>
  <bookViews>
    <workbookView xWindow="1755" yWindow="1755" windowWidth="18825" windowHeight="11490" activeTab="1" xr2:uid="{00000000-000D-0000-FFFF-FFFF00000000}"/>
  </bookViews>
  <sheets>
    <sheet name="Sheet1" sheetId="1" r:id="rId1"/>
    <sheet name="Sheet2" sheetId="2" r:id="rId2"/>
  </sheets>
  <definedNames>
    <definedName name="allowance">Sheet1!$F$35</definedName>
    <definedName name="defer">Sheet1!$F$32</definedName>
    <definedName name="mrate">Sheet1!$H$15</definedName>
    <definedName name="rate">Sheet1!$F$36</definedName>
    <definedName name="Sale_price">Sheet2!$A$4</definedName>
    <definedName name="state">Sheet1!$F$31</definedName>
    <definedName name="vrate">Sheet1!#REF!</definedName>
    <definedName name="years">Sheet1!$H$16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2" l="1"/>
  <c r="D13" i="2"/>
  <c r="C6" i="2" l="1"/>
  <c r="A25" i="2"/>
  <c r="A24" i="2"/>
  <c r="A61" i="2" l="1"/>
  <c r="A64" i="2"/>
  <c r="A54" i="2"/>
  <c r="A53" i="2" s="1"/>
  <c r="A51" i="2"/>
  <c r="A45" i="2"/>
  <c r="A44" i="2"/>
  <c r="A43" i="2"/>
  <c r="A35" i="2"/>
  <c r="A40" i="2"/>
  <c r="A22" i="2"/>
  <c r="A46" i="2" l="1"/>
  <c r="A55" i="2" s="1"/>
  <c r="A56" i="2"/>
  <c r="A57" i="2" l="1"/>
  <c r="A23" i="2"/>
  <c r="A26" i="2" s="1"/>
  <c r="A15" i="2" l="1"/>
  <c r="C13" i="2" l="1"/>
  <c r="A16" i="2" l="1"/>
  <c r="E16" i="1"/>
  <c r="C6" i="1"/>
  <c r="E7" i="1"/>
  <c r="C50" i="1"/>
  <c r="B45" i="1"/>
  <c r="B46" i="1" s="1"/>
  <c r="A34" i="2" s="1"/>
  <c r="A60" i="2" s="1"/>
  <c r="E24" i="1"/>
  <c r="E6" i="1"/>
  <c r="C9" i="1"/>
  <c r="G12" i="1"/>
  <c r="E12" i="1" s="1"/>
  <c r="C11" i="1"/>
  <c r="A18" i="2" l="1"/>
  <c r="A21" i="2" s="1"/>
  <c r="A27" i="2" s="1"/>
  <c r="C32" i="1"/>
  <c r="C31" i="1"/>
  <c r="A58" i="2" s="1"/>
  <c r="C27" i="1"/>
  <c r="C12" i="1"/>
  <c r="J15" i="1"/>
  <c r="J14" i="1"/>
  <c r="C4" i="1"/>
  <c r="A39" i="2" l="1"/>
  <c r="A41" i="2" s="1"/>
  <c r="A19" i="2"/>
  <c r="J18" i="1"/>
  <c r="C33" i="1"/>
  <c r="C7" i="1" l="1"/>
  <c r="E19" i="1" s="1"/>
  <c r="F19" i="1" s="1"/>
  <c r="C15" i="1" l="1"/>
  <c r="H23" i="1"/>
  <c r="F20" i="1"/>
  <c r="J10" i="1"/>
  <c r="C28" i="1"/>
  <c r="C29" i="1" s="1"/>
  <c r="H30" i="1" s="1"/>
  <c r="E10" i="1" l="1"/>
  <c r="C36" i="1"/>
  <c r="C37" i="1" s="1"/>
  <c r="C16" i="1"/>
  <c r="H24" i="1"/>
  <c r="C10" i="1"/>
  <c r="C13" i="1" s="1"/>
  <c r="D13" i="1" s="1"/>
  <c r="B10" i="1"/>
  <c r="B17" i="1"/>
  <c r="H25" i="1" l="1"/>
  <c r="H26" i="1" s="1"/>
  <c r="C18" i="1"/>
  <c r="C19" i="1" s="1"/>
  <c r="C21" i="1" s="1"/>
  <c r="C38" i="1"/>
  <c r="C14" i="1"/>
  <c r="H38" i="1"/>
  <c r="B31" i="1"/>
  <c r="G10" i="1"/>
  <c r="B12" i="1" l="1"/>
  <c r="B6" i="1"/>
  <c r="B7" i="1" l="1"/>
  <c r="E18" i="1" s="1"/>
  <c r="F18" i="1" s="1"/>
  <c r="B32" i="1"/>
  <c r="B28" i="1"/>
  <c r="B27" i="1"/>
  <c r="B13" i="1"/>
  <c r="B33" i="1" l="1"/>
  <c r="B35" i="1" s="1"/>
  <c r="B36" i="1" s="1"/>
  <c r="B37" i="1" s="1"/>
  <c r="A59" i="2"/>
  <c r="A62" i="2" s="1"/>
  <c r="A65" i="2" s="1"/>
  <c r="B29" i="1"/>
  <c r="B16" i="1"/>
  <c r="B38" i="1" l="1"/>
  <c r="B18" i="1"/>
  <c r="B19" i="1" s="1"/>
  <c r="B21" i="1" s="1"/>
</calcChain>
</file>

<file path=xl/sharedStrings.xml><?xml version="1.0" encoding="utf-8"?>
<sst xmlns="http://schemas.openxmlformats.org/spreadsheetml/2006/main" count="173" uniqueCount="132">
  <si>
    <t>HT annual pension @75%</t>
  </si>
  <si>
    <t>Rough calculation of available funds for flat purchase</t>
  </si>
  <si>
    <t>Current surplus in bank</t>
  </si>
  <si>
    <t>BUT also get remainder of lump sum when fully retire</t>
  </si>
  <si>
    <t>MINUS salary, PLUS remaining 25% of pension</t>
  </si>
  <si>
    <t>Estimate of Cath lump sum when fully retire</t>
  </si>
  <si>
    <t>Likely lump sum remainder</t>
  </si>
  <si>
    <t>That leaves us to live on annually</t>
  </si>
  <si>
    <t xml:space="preserve">That leaves us to live on per month </t>
  </si>
  <si>
    <t>We currently spend £2,800/month on regular payments plus cash</t>
  </si>
  <si>
    <t>Estimate of HST lump sum when fully retire</t>
  </si>
  <si>
    <t>Gross annual income once fully retired</t>
  </si>
  <si>
    <t>state</t>
  </si>
  <si>
    <t>defer++</t>
  </si>
  <si>
    <t>After tax</t>
  </si>
  <si>
    <t>allowance</t>
  </si>
  <si>
    <t>rate</t>
  </si>
  <si>
    <t>Taxable</t>
  </si>
  <si>
    <t>Gross</t>
  </si>
  <si>
    <t>Net</t>
  </si>
  <si>
    <t>Annual income estimated from 1Aug2019 (net of tax)</t>
  </si>
  <si>
    <t>JEJT contingency</t>
  </si>
  <si>
    <t>CWT annual salary @ 0.5FTE, net</t>
  </si>
  <si>
    <t>CWT annual pension @75%, net</t>
  </si>
  <si>
    <t>HT annual salary @0.5 FTE, net</t>
  </si>
  <si>
    <t>Cost</t>
  </si>
  <si>
    <t>Less deposit</t>
  </si>
  <si>
    <t>years</t>
  </si>
  <si>
    <t>mrate</t>
  </si>
  <si>
    <t>Estimate of Cath income when fully retired - gross pension</t>
  </si>
  <si>
    <t>Estimate of Henry income when fully retired - gross pension</t>
  </si>
  <si>
    <t>Per month</t>
  </si>
  <si>
    <t>Cost of sale</t>
  </si>
  <si>
    <t>Available for down payment</t>
  </si>
  <si>
    <t>So, unless we use W'dell to pay off mortgage, we're in trouble…</t>
  </si>
  <si>
    <t>Annual mortgage payment</t>
  </si>
  <si>
    <t>annual cost of mortgage</t>
  </si>
  <si>
    <t>Annual overdraft payment</t>
  </si>
  <si>
    <t>What we'd have to limit ourselves to on credit card (~ 1/2 of what we currenly spend)</t>
  </si>
  <si>
    <t>Disposition</t>
  </si>
  <si>
    <t>Standard Security</t>
  </si>
  <si>
    <t>LBTT</t>
  </si>
  <si>
    <t>ADS</t>
  </si>
  <si>
    <t>Altis</t>
  </si>
  <si>
    <t>Fee+VAT</t>
  </si>
  <si>
    <t>(state only)</t>
  </si>
  <si>
    <t>Monthly income, net of tax and mortgage</t>
  </si>
  <si>
    <t>Suppose we fully retire</t>
  </si>
  <si>
    <t>now including main pension)</t>
  </si>
  <si>
    <t>Every 10000 we add to the purchase price costs us 200/mo</t>
  </si>
  <si>
    <t>Or, every 10000 we take off the price only saves us 200/mo</t>
  </si>
  <si>
    <t>Available for down payment and costs</t>
  </si>
  <si>
    <t>interest only</t>
  </si>
  <si>
    <t>Actual net 7/10</t>
  </si>
  <si>
    <t>Actual net</t>
  </si>
  <si>
    <t>Annual cost</t>
  </si>
  <si>
    <t>Monthly</t>
  </si>
  <si>
    <t>Waterdell sale estimate</t>
  </si>
  <si>
    <t>Balance</t>
  </si>
  <si>
    <t>Annual net</t>
  </si>
  <si>
    <t>Monthly net</t>
  </si>
  <si>
    <t>Rent</t>
  </si>
  <si>
    <t>Net of tax and expenses</t>
  </si>
  <si>
    <t>Triodos</t>
  </si>
  <si>
    <t>Cash ISA HST</t>
  </si>
  <si>
    <t>Cash ISA CWT</t>
  </si>
  <si>
    <t>IFISA HST</t>
  </si>
  <si>
    <t>IFISA CWT</t>
  </si>
  <si>
    <t>These are not liquid</t>
  </si>
  <si>
    <t>Interest only</t>
  </si>
  <si>
    <t>Ecology BS HST</t>
  </si>
  <si>
    <t>Ecology BS CWT</t>
  </si>
  <si>
    <t>Cost of purchase</t>
  </si>
  <si>
    <t>Sale price</t>
  </si>
  <si>
    <t>Total</t>
  </si>
  <si>
    <t>Overdraft</t>
  </si>
  <si>
    <t>Sale Price</t>
  </si>
  <si>
    <t>Cash contribution</t>
  </si>
  <si>
    <t>Loan requirement</t>
  </si>
  <si>
    <t>Cost of Purchase</t>
  </si>
  <si>
    <t>2-year fixed interest-only loan rate</t>
  </si>
  <si>
    <t>Tax</t>
  </si>
  <si>
    <t>Capital expectations</t>
  </si>
  <si>
    <t>Waterdell</t>
  </si>
  <si>
    <t>CWT remaining lump</t>
  </si>
  <si>
    <t>HST remaining lump</t>
  </si>
  <si>
    <t>Liquid savings</t>
  </si>
  <si>
    <t>Cash ISAs, Triodos</t>
  </si>
  <si>
    <t>CWT Skipton</t>
  </si>
  <si>
    <t>Loan fee</t>
  </si>
  <si>
    <t>Transfer fee</t>
  </si>
  <si>
    <t>Savings, Ecology BS</t>
  </si>
  <si>
    <t>Management fee</t>
  </si>
  <si>
    <t>Letting agent</t>
  </si>
  <si>
    <t>Contents insurance?</t>
  </si>
  <si>
    <t>Actual loan</t>
  </si>
  <si>
    <t>Shortfall</t>
  </si>
  <si>
    <t>from each Cash ISA</t>
  </si>
  <si>
    <t>Net monthly income</t>
  </si>
  <si>
    <t>Net full-cost balance</t>
  </si>
  <si>
    <t>Loan</t>
  </si>
  <si>
    <t>Lump sums</t>
  </si>
  <si>
    <t>Remaining capital</t>
  </si>
  <si>
    <t>Post-repay income</t>
  </si>
  <si>
    <t>Savings rate?</t>
  </si>
  <si>
    <t>Net monthly income from assets</t>
  </si>
  <si>
    <t>State pensions</t>
  </si>
  <si>
    <t>Personal pensions</t>
  </si>
  <si>
    <t>Total net monthly income</t>
  </si>
  <si>
    <t>Current net salaries+pensions</t>
  </si>
  <si>
    <t>Change in monthly income</t>
  </si>
  <si>
    <t>ISAs and savings</t>
  </si>
  <si>
    <t>Other misc pensions</t>
  </si>
  <si>
    <t>Factoring fee</t>
  </si>
  <si>
    <t>So we should be OK to pay off the loan on its 2nd anniversary, e.g. January 23 2022</t>
  </si>
  <si>
    <t>CHAPS ordered from V1 at 2020-01-22 0855, Greg</t>
  </si>
  <si>
    <t>Mortgage from e.g. HSBC</t>
  </si>
  <si>
    <t>Stamp Duty</t>
  </si>
  <si>
    <t>From liquidations</t>
  </si>
  <si>
    <t>LTV</t>
  </si>
  <si>
    <t>Contingencies</t>
  </si>
  <si>
    <t>Savings</t>
  </si>
  <si>
    <t>Belford Rent</t>
  </si>
  <si>
    <t>Funding the purchase of 4 Chichester House in Cambridge</t>
  </si>
  <si>
    <t>This version: 16 June 2025</t>
  </si>
  <si>
    <t>Cash ISA</t>
  </si>
  <si>
    <t>08-90-72</t>
  </si>
  <si>
    <t>Skipton BS HST</t>
  </si>
  <si>
    <t>20 - 78 - 91</t>
  </si>
  <si>
    <t>Triodos HST</t>
  </si>
  <si>
    <t>16-58-10</t>
  </si>
  <si>
    <t>Triodos CWT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</si>
</sst>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;[Red]\-&quot;£&quot;#,##0"/>
    <numFmt numFmtId="8" formatCode="&quot;£&quot;#,##0.00;[Red]\-&quot;£&quot;#,##0.00"/>
    <numFmt numFmtId="164" formatCode="&quot;£&quot;#,##0"/>
    <numFmt numFmtId="165" formatCode="&quot;£&quot;#,##0.00"/>
    <numFmt numFmtId="166" formatCode="&quot;£&quot;#,##0.00;[Red]&quot;£&quot;#,##0.00"/>
    <numFmt numFmtId="167" formatCode="#,##0.000;[Red]#,##0.000"/>
    <numFmt numFmtId="168" formatCode="[$-809]dd\ mmmm\ yyyy;@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33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6" fontId="0" fillId="0" borderId="0" xfId="0" applyNumberFormat="1"/>
    <xf numFmtId="10" fontId="0" fillId="0" borderId="0" xfId="0" applyNumberFormat="1"/>
    <xf numFmtId="16" fontId="0" fillId="0" borderId="0" xfId="0" applyNumberFormat="1"/>
    <xf numFmtId="8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0" fontId="1" fillId="2" borderId="1" xfId="1" applyFont="1"/>
    <xf numFmtId="0" fontId="0" fillId="2" borderId="1" xfId="1" applyFont="1"/>
    <xf numFmtId="0" fontId="0" fillId="2" borderId="3" xfId="1" applyFont="1" applyBorder="1"/>
    <xf numFmtId="166" fontId="0" fillId="2" borderId="3" xfId="1" applyNumberFormat="1" applyFont="1" applyBorder="1"/>
    <xf numFmtId="0" fontId="1" fillId="2" borderId="2" xfId="1" applyFont="1" applyBorder="1"/>
    <xf numFmtId="6" fontId="1" fillId="2" borderId="1" xfId="1" applyNumberFormat="1" applyFont="1"/>
    <xf numFmtId="0" fontId="0" fillId="2" borderId="4" xfId="1" applyFont="1" applyBorder="1"/>
    <xf numFmtId="6" fontId="0" fillId="2" borderId="4" xfId="1" applyNumberFormat="1" applyFont="1" applyBorder="1"/>
    <xf numFmtId="166" fontId="0" fillId="0" borderId="5" xfId="0" applyNumberFormat="1" applyBorder="1"/>
    <xf numFmtId="0" fontId="0" fillId="0" borderId="5" xfId="0" applyBorder="1"/>
    <xf numFmtId="166" fontId="1" fillId="0" borderId="0" xfId="0" applyNumberFormat="1" applyFont="1"/>
    <xf numFmtId="10" fontId="0" fillId="0" borderId="5" xfId="0" applyNumberFormat="1" applyBorder="1"/>
    <xf numFmtId="167" fontId="0" fillId="0" borderId="0" xfId="0" applyNumberFormat="1"/>
    <xf numFmtId="6" fontId="0" fillId="2" borderId="6" xfId="1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168" fontId="0" fillId="0" borderId="0" xfId="0" applyNumberFormat="1" applyAlignment="1">
      <alignment horizontal="center"/>
    </xf>
    <xf numFmtId="4" fontId="5" fillId="4" borderId="0" xfId="3" applyNumberFormat="1"/>
    <xf numFmtId="0" fontId="0" fillId="0" borderId="0" xfId="0" quotePrefix="1" applyAlignment="1">
      <alignment horizontal="right"/>
    </xf>
    <xf numFmtId="4" fontId="4" fillId="3" borderId="0" xfId="2" applyNumberFormat="1"/>
    <xf numFmtId="0" fontId="0" fillId="0" borderId="0" xfId="0" quotePrefix="1"/>
  </cellXfs>
  <cellStyles count="4">
    <cellStyle name="Good" xfId="2" builtinId="26"/>
    <cellStyle name="Neutral" xfId="3" builtinId="2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workbookViewId="0">
      <selection activeCell="E16" sqref="E16"/>
    </sheetView>
  </sheetViews>
  <sheetFormatPr defaultColWidth="11" defaultRowHeight="15.75" x14ac:dyDescent="0.25"/>
  <cols>
    <col min="1" max="1" width="62" customWidth="1"/>
    <col min="2" max="2" width="11.375" style="1" bestFit="1" customWidth="1"/>
  </cols>
  <sheetData>
    <row r="1" spans="1:10" x14ac:dyDescent="0.25">
      <c r="A1" s="2" t="s">
        <v>1</v>
      </c>
    </row>
    <row r="2" spans="1:10" x14ac:dyDescent="0.25">
      <c r="C2" s="7">
        <v>43745</v>
      </c>
    </row>
    <row r="3" spans="1:10" x14ac:dyDescent="0.25">
      <c r="A3" t="s">
        <v>2</v>
      </c>
      <c r="B3" s="1">
        <v>0</v>
      </c>
      <c r="C3">
        <v>200000</v>
      </c>
    </row>
    <row r="4" spans="1:10" x14ac:dyDescent="0.25">
      <c r="A4" t="s">
        <v>21</v>
      </c>
      <c r="B4" s="5">
        <v>0</v>
      </c>
      <c r="C4" s="5">
        <f>B4</f>
        <v>0</v>
      </c>
    </row>
    <row r="5" spans="1:10" x14ac:dyDescent="0.25">
      <c r="C5" s="5"/>
      <c r="E5" s="5"/>
      <c r="H5" s="8"/>
    </row>
    <row r="6" spans="1:10" s="2" customFormat="1" x14ac:dyDescent="0.25">
      <c r="A6" s="2" t="s">
        <v>51</v>
      </c>
      <c r="B6" s="3">
        <f>SUM(B3:B5)</f>
        <v>0</v>
      </c>
      <c r="C6" s="3">
        <f>Sheet2!D13</f>
        <v>194234.9</v>
      </c>
      <c r="E6" s="5" t="e">
        <f>12*PMT(vrate/12,years*12,C5)</f>
        <v>#REF!</v>
      </c>
      <c r="F6" s="7">
        <v>43745</v>
      </c>
    </row>
    <row r="7" spans="1:10" s="2" customFormat="1" x14ac:dyDescent="0.25">
      <c r="A7" s="2" t="s">
        <v>33</v>
      </c>
      <c r="B7" s="3">
        <f>B6+E16</f>
        <v>-33104</v>
      </c>
      <c r="C7" s="3">
        <f>C6+E16</f>
        <v>161130.9</v>
      </c>
      <c r="E7" s="5" t="e">
        <f>-vrate*C5</f>
        <v>#REF!</v>
      </c>
      <c r="F7" t="s">
        <v>69</v>
      </c>
    </row>
    <row r="8" spans="1:10" x14ac:dyDescent="0.25">
      <c r="C8" s="1"/>
    </row>
    <row r="9" spans="1:10" x14ac:dyDescent="0.25">
      <c r="A9" t="s">
        <v>22</v>
      </c>
      <c r="B9" s="1">
        <v>30480</v>
      </c>
      <c r="C9" s="1">
        <f>2592*12</f>
        <v>31104</v>
      </c>
      <c r="F9" s="4"/>
    </row>
    <row r="10" spans="1:10" x14ac:dyDescent="0.25">
      <c r="A10" t="s">
        <v>23</v>
      </c>
      <c r="B10" s="1">
        <f>0.75*J10</f>
        <v>12030.300000000001</v>
      </c>
      <c r="C10" s="1">
        <f>J10</f>
        <v>16040.400000000001</v>
      </c>
      <c r="D10" s="4" t="s">
        <v>18</v>
      </c>
      <c r="E10" s="1">
        <f>J10/0.8</f>
        <v>20050.5</v>
      </c>
      <c r="F10" s="4" t="s">
        <v>19</v>
      </c>
      <c r="G10" s="1">
        <f>15790/0.75</f>
        <v>21053.333333333332</v>
      </c>
      <c r="H10" t="s">
        <v>53</v>
      </c>
      <c r="I10">
        <v>1336.7</v>
      </c>
      <c r="J10">
        <f>I10*12</f>
        <v>16040.400000000001</v>
      </c>
    </row>
    <row r="11" spans="1:10" x14ac:dyDescent="0.25">
      <c r="A11" t="s">
        <v>24</v>
      </c>
      <c r="B11" s="1">
        <v>24468</v>
      </c>
      <c r="C11" s="1">
        <f>2250*12</f>
        <v>27000</v>
      </c>
      <c r="E11" s="1"/>
    </row>
    <row r="12" spans="1:10" x14ac:dyDescent="0.25">
      <c r="A12" t="s">
        <v>0</v>
      </c>
      <c r="B12" s="1">
        <f>0.75*G12</f>
        <v>17582.399999999998</v>
      </c>
      <c r="C12" s="1">
        <f>G12</f>
        <v>23443.199999999997</v>
      </c>
      <c r="D12" s="4" t="s">
        <v>18</v>
      </c>
      <c r="E12" s="1">
        <f>G12/0.8</f>
        <v>29303.999999999996</v>
      </c>
      <c r="F12" s="4" t="s">
        <v>54</v>
      </c>
      <c r="G12" s="1">
        <f>1953.6*12</f>
        <v>23443.199999999997</v>
      </c>
      <c r="I12" t="s">
        <v>39</v>
      </c>
      <c r="J12">
        <v>480</v>
      </c>
    </row>
    <row r="13" spans="1:10" x14ac:dyDescent="0.25">
      <c r="A13" s="2" t="s">
        <v>20</v>
      </c>
      <c r="B13" s="3">
        <f>SUM(B9:B12)</f>
        <v>84560.7</v>
      </c>
      <c r="C13" s="3">
        <f>SUM(C9:C12)</f>
        <v>97587.599999999991</v>
      </c>
      <c r="D13" s="9">
        <f>C13/12</f>
        <v>8132.2999999999993</v>
      </c>
      <c r="E13" s="1"/>
      <c r="I13" t="s">
        <v>40</v>
      </c>
      <c r="J13">
        <v>60</v>
      </c>
    </row>
    <row r="14" spans="1:10" x14ac:dyDescent="0.25">
      <c r="C14" s="9">
        <f>C13/12</f>
        <v>8132.2999999999993</v>
      </c>
      <c r="E14" s="1"/>
      <c r="I14" t="s">
        <v>41</v>
      </c>
      <c r="J14" s="8">
        <f>8350*-E15/350000</f>
        <v>-10735.714285714286</v>
      </c>
    </row>
    <row r="15" spans="1:10" x14ac:dyDescent="0.25">
      <c r="A15" t="s">
        <v>116</v>
      </c>
      <c r="B15" s="5">
        <v>270000</v>
      </c>
      <c r="C15" s="5">
        <f>E19</f>
        <v>611130.9</v>
      </c>
      <c r="D15" t="s">
        <v>25</v>
      </c>
      <c r="E15" s="5">
        <v>450000</v>
      </c>
      <c r="G15" t="s">
        <v>28</v>
      </c>
      <c r="H15" s="6">
        <v>4.99E-2</v>
      </c>
      <c r="I15" t="s">
        <v>42</v>
      </c>
      <c r="J15" s="5">
        <f>14000*-E15/350000</f>
        <v>-18000</v>
      </c>
    </row>
    <row r="16" spans="1:10" x14ac:dyDescent="0.25">
      <c r="A16" t="s">
        <v>35</v>
      </c>
      <c r="B16" s="5">
        <f>F18</f>
        <v>94385.183762289031</v>
      </c>
      <c r="C16" s="5">
        <f>F19</f>
        <v>8494.719509999999</v>
      </c>
      <c r="D16" t="s">
        <v>32</v>
      </c>
      <c r="E16" s="5">
        <f>-Sheet2!C13</f>
        <v>-33104</v>
      </c>
      <c r="G16" t="s">
        <v>27</v>
      </c>
      <c r="H16">
        <v>5</v>
      </c>
      <c r="I16" t="s">
        <v>43</v>
      </c>
      <c r="J16">
        <v>30</v>
      </c>
    </row>
    <row r="17" spans="1:10" x14ac:dyDescent="0.25">
      <c r="A17" t="s">
        <v>37</v>
      </c>
      <c r="B17" s="5">
        <f>E5</f>
        <v>0</v>
      </c>
      <c r="C17" s="5">
        <v>-1000</v>
      </c>
      <c r="E17" s="5"/>
      <c r="F17" s="5"/>
      <c r="I17" t="s">
        <v>44</v>
      </c>
      <c r="J17">
        <v>1800</v>
      </c>
    </row>
    <row r="18" spans="1:10" x14ac:dyDescent="0.25">
      <c r="A18" s="2" t="s">
        <v>7</v>
      </c>
      <c r="B18" s="3">
        <f>B13+B16+B17</f>
        <v>178945.88376228901</v>
      </c>
      <c r="C18" s="10">
        <f>C13+C16+C17+12*Sheet2!A27</f>
        <v>101911.55550999999</v>
      </c>
      <c r="D18" t="s">
        <v>26</v>
      </c>
      <c r="E18" s="5">
        <f>E15+B7</f>
        <v>416896</v>
      </c>
      <c r="F18" s="5">
        <f>-12*PMT(mrate/12,years*12,E18)</f>
        <v>94385.183762289031</v>
      </c>
      <c r="G18" t="s">
        <v>36</v>
      </c>
      <c r="J18">
        <f>SUM(J12:J17)</f>
        <v>-26365.714285714286</v>
      </c>
    </row>
    <row r="19" spans="1:10" x14ac:dyDescent="0.25">
      <c r="A19" s="2" t="s">
        <v>8</v>
      </c>
      <c r="B19" s="3">
        <f>B18/12</f>
        <v>14912.156980190752</v>
      </c>
      <c r="C19" s="3">
        <f>C18/12</f>
        <v>8492.6296258333332</v>
      </c>
      <c r="E19" s="5">
        <f>E15+C7</f>
        <v>611130.9</v>
      </c>
      <c r="F19" s="5">
        <f>1.39%*E19</f>
        <v>8494.719509999999</v>
      </c>
    </row>
    <row r="20" spans="1:10" x14ac:dyDescent="0.25">
      <c r="A20" t="s">
        <v>9</v>
      </c>
      <c r="B20" s="1">
        <v>2800</v>
      </c>
      <c r="C20" s="1">
        <v>2800</v>
      </c>
      <c r="F20" s="8">
        <f>F19/12</f>
        <v>707.89329249999992</v>
      </c>
    </row>
    <row r="21" spans="1:10" x14ac:dyDescent="0.25">
      <c r="A21" t="s">
        <v>38</v>
      </c>
      <c r="B21" s="1">
        <f>B19-B20</f>
        <v>12112.156980190752</v>
      </c>
      <c r="C21" s="1">
        <f>C19-C20</f>
        <v>5692.6296258333332</v>
      </c>
    </row>
    <row r="22" spans="1:10" x14ac:dyDescent="0.25">
      <c r="A22" s="2"/>
      <c r="B22" s="3"/>
      <c r="G22" t="s">
        <v>52</v>
      </c>
      <c r="H22" s="6">
        <v>1.3899999999999999E-2</v>
      </c>
    </row>
    <row r="23" spans="1:10" x14ac:dyDescent="0.25">
      <c r="A23" t="s">
        <v>3</v>
      </c>
      <c r="D23" t="s">
        <v>61</v>
      </c>
      <c r="E23">
        <v>1400</v>
      </c>
      <c r="G23" t="s">
        <v>55</v>
      </c>
      <c r="H23" s="5">
        <f>H22*E19</f>
        <v>8494.719509999999</v>
      </c>
    </row>
    <row r="24" spans="1:10" x14ac:dyDescent="0.25">
      <c r="A24" t="s">
        <v>4</v>
      </c>
      <c r="D24" t="s">
        <v>62</v>
      </c>
      <c r="E24">
        <f>E23*0.8-100</f>
        <v>1020</v>
      </c>
      <c r="G24" t="s">
        <v>56</v>
      </c>
      <c r="H24" s="8">
        <f>H23/12</f>
        <v>707.89329249999992</v>
      </c>
    </row>
    <row r="25" spans="1:10" x14ac:dyDescent="0.25">
      <c r="G25" t="s">
        <v>59</v>
      </c>
      <c r="H25" s="1" t="e">
        <f>C13+H23+E7</f>
        <v>#REF!</v>
      </c>
    </row>
    <row r="26" spans="1:10" x14ac:dyDescent="0.25">
      <c r="A26" s="2" t="s">
        <v>47</v>
      </c>
      <c r="C26">
        <v>80267.899999999994</v>
      </c>
      <c r="G26" t="s">
        <v>60</v>
      </c>
      <c r="H26" s="9" t="e">
        <f>H25/12</f>
        <v>#REF!</v>
      </c>
    </row>
    <row r="27" spans="1:10" x14ac:dyDescent="0.25">
      <c r="A27" t="s">
        <v>5</v>
      </c>
      <c r="B27" s="1">
        <f>80000/3</f>
        <v>26666.666666666668</v>
      </c>
      <c r="C27">
        <f>C26/3</f>
        <v>26755.966666666664</v>
      </c>
    </row>
    <row r="28" spans="1:10" x14ac:dyDescent="0.25">
      <c r="A28" t="s">
        <v>10</v>
      </c>
      <c r="B28" s="1" t="e">
        <f>#REF!/3</f>
        <v>#REF!</v>
      </c>
      <c r="C28" s="1" t="e">
        <f>#REF!/3</f>
        <v>#REF!</v>
      </c>
    </row>
    <row r="29" spans="1:10" s="2" customFormat="1" x14ac:dyDescent="0.25">
      <c r="A29" s="2" t="s">
        <v>6</v>
      </c>
      <c r="B29" s="3" t="e">
        <f>SUM(B27:B28)</f>
        <v>#REF!</v>
      </c>
      <c r="C29" s="3" t="e">
        <f>SUM(C27:C28)</f>
        <v>#REF!</v>
      </c>
      <c r="D29"/>
      <c r="E29"/>
    </row>
    <row r="30" spans="1:10" s="2" customFormat="1" x14ac:dyDescent="0.25">
      <c r="A30" s="2" t="s">
        <v>57</v>
      </c>
      <c r="B30" s="3"/>
      <c r="C30" s="3">
        <v>150000</v>
      </c>
      <c r="G30" s="2" t="s">
        <v>58</v>
      </c>
      <c r="H30" s="3" t="e">
        <f>C29+C30+E19</f>
        <v>#REF!</v>
      </c>
    </row>
    <row r="31" spans="1:10" x14ac:dyDescent="0.25">
      <c r="A31" t="s">
        <v>29</v>
      </c>
      <c r="B31" s="1">
        <f>E10+state+(3*defer*state)</f>
        <v>28643.3128</v>
      </c>
      <c r="C31" s="1">
        <f>state+(3*defer*state)</f>
        <v>8592.8127999999997</v>
      </c>
      <c r="D31" s="2"/>
      <c r="E31" s="2"/>
      <c r="F31" s="1">
        <v>6549.4</v>
      </c>
    </row>
    <row r="32" spans="1:10" x14ac:dyDescent="0.25">
      <c r="A32" t="s">
        <v>30</v>
      </c>
      <c r="B32" s="1">
        <f>E12+state+state*defer*5</f>
        <v>39259.087999999996</v>
      </c>
      <c r="C32" s="1">
        <f>state+state*defer*5</f>
        <v>9955.0879999999997</v>
      </c>
      <c r="E32" s="4" t="s">
        <v>12</v>
      </c>
      <c r="F32">
        <v>0.104</v>
      </c>
    </row>
    <row r="33" spans="1:8" x14ac:dyDescent="0.25">
      <c r="A33" s="2" t="s">
        <v>11</v>
      </c>
      <c r="B33" s="3">
        <f>SUM(B31:B32)</f>
        <v>67902.400800000003</v>
      </c>
      <c r="C33" s="3">
        <f>SUM(C31:C32)</f>
        <v>18547.900799999999</v>
      </c>
      <c r="D33" t="s">
        <v>45</v>
      </c>
      <c r="E33" s="4" t="s">
        <v>13</v>
      </c>
    </row>
    <row r="35" spans="1:8" x14ac:dyDescent="0.25">
      <c r="A35" t="s">
        <v>17</v>
      </c>
      <c r="B35" s="1">
        <f>B33-2*allowance</f>
        <v>44202.400800000003</v>
      </c>
      <c r="C35" s="1">
        <v>0</v>
      </c>
      <c r="F35" s="1">
        <v>11850</v>
      </c>
    </row>
    <row r="36" spans="1:8" x14ac:dyDescent="0.25">
      <c r="A36" s="2" t="s">
        <v>14</v>
      </c>
      <c r="B36" s="3">
        <f>B33-(B35*rate)</f>
        <v>59061.920640000004</v>
      </c>
      <c r="C36" s="10">
        <f>C33+((E12+J10)*0.8)+12*E24</f>
        <v>67063.420799999993</v>
      </c>
      <c r="D36" t="s">
        <v>48</v>
      </c>
      <c r="E36" s="4" t="s">
        <v>15</v>
      </c>
      <c r="F36">
        <v>0.2</v>
      </c>
    </row>
    <row r="37" spans="1:8" x14ac:dyDescent="0.25">
      <c r="A37" t="s">
        <v>31</v>
      </c>
      <c r="B37" s="1">
        <f>B36/12</f>
        <v>4921.82672</v>
      </c>
      <c r="C37" s="1">
        <f>C36/12</f>
        <v>5588.6183999999994</v>
      </c>
      <c r="E37" s="4" t="s">
        <v>16</v>
      </c>
    </row>
    <row r="38" spans="1:8" x14ac:dyDescent="0.25">
      <c r="A38" s="2" t="s">
        <v>46</v>
      </c>
      <c r="B38" s="3">
        <f>B37+(B16+B17)/12</f>
        <v>12787.258700190752</v>
      </c>
      <c r="C38" s="3">
        <f>C37+(C16+C17)/12</f>
        <v>6213.1783591666663</v>
      </c>
      <c r="H38" s="10">
        <f>C37+H24</f>
        <v>6296.5116924999993</v>
      </c>
    </row>
    <row r="40" spans="1:8" x14ac:dyDescent="0.25">
      <c r="A40" t="s">
        <v>34</v>
      </c>
    </row>
    <row r="41" spans="1:8" x14ac:dyDescent="0.25">
      <c r="A41" t="s">
        <v>49</v>
      </c>
    </row>
    <row r="42" spans="1:8" x14ac:dyDescent="0.25">
      <c r="A42" t="s">
        <v>50</v>
      </c>
    </row>
    <row r="44" spans="1:8" x14ac:dyDescent="0.25">
      <c r="A44" s="2" t="s">
        <v>63</v>
      </c>
    </row>
    <row r="45" spans="1:8" x14ac:dyDescent="0.25">
      <c r="A45" t="s">
        <v>64</v>
      </c>
      <c r="B45" s="1">
        <f>31063.77</f>
        <v>31063.77</v>
      </c>
    </row>
    <row r="46" spans="1:8" x14ac:dyDescent="0.25">
      <c r="A46" t="s">
        <v>65</v>
      </c>
      <c r="B46" s="1">
        <f>B45</f>
        <v>31063.77</v>
      </c>
    </row>
    <row r="47" spans="1:8" x14ac:dyDescent="0.25">
      <c r="A47" t="s">
        <v>70</v>
      </c>
      <c r="B47" s="1">
        <v>10960</v>
      </c>
    </row>
    <row r="48" spans="1:8" x14ac:dyDescent="0.25">
      <c r="A48" t="s">
        <v>71</v>
      </c>
      <c r="B48" s="1">
        <v>10960</v>
      </c>
    </row>
    <row r="49" spans="1:4" x14ac:dyDescent="0.25">
      <c r="A49" t="s">
        <v>66</v>
      </c>
      <c r="C49">
        <v>10353.09</v>
      </c>
      <c r="D49" s="26" t="s">
        <v>68</v>
      </c>
    </row>
    <row r="50" spans="1:4" x14ac:dyDescent="0.25">
      <c r="A50" t="s">
        <v>67</v>
      </c>
      <c r="C50">
        <f>C49</f>
        <v>10353.09</v>
      </c>
      <c r="D50" s="26"/>
    </row>
  </sheetData>
  <mergeCells count="1">
    <mergeCell ref="D49:D5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4"/>
  <sheetViews>
    <sheetView tabSelected="1" workbookViewId="0">
      <selection activeCell="E18" sqref="E18:E19"/>
    </sheetView>
  </sheetViews>
  <sheetFormatPr defaultRowHeight="15.75" x14ac:dyDescent="0.25"/>
  <cols>
    <col min="1" max="1" width="10.875" bestFit="1" customWidth="1"/>
    <col min="2" max="2" width="10.75" bestFit="1" customWidth="1"/>
    <col min="3" max="3" width="11.75" customWidth="1"/>
    <col min="4" max="4" width="10.875" customWidth="1"/>
    <col min="5" max="5" width="10.75" bestFit="1" customWidth="1"/>
    <col min="7" max="7" width="10.75" customWidth="1"/>
  </cols>
  <sheetData>
    <row r="1" spans="1:13" ht="18.75" x14ac:dyDescent="0.3">
      <c r="A1" s="27" t="s">
        <v>123</v>
      </c>
      <c r="B1" s="27"/>
      <c r="C1" s="27"/>
      <c r="D1" s="27"/>
      <c r="E1" s="27"/>
      <c r="F1" s="27"/>
    </row>
    <row r="2" spans="1:13" x14ac:dyDescent="0.25">
      <c r="A2" s="28" t="s">
        <v>124</v>
      </c>
      <c r="B2" s="28"/>
      <c r="C2" s="28"/>
      <c r="D2" s="28"/>
      <c r="E2" s="28"/>
      <c r="F2" s="28"/>
    </row>
    <row r="3" spans="1:13" x14ac:dyDescent="0.25">
      <c r="A3" s="2" t="s">
        <v>73</v>
      </c>
      <c r="B3" s="12" t="s">
        <v>72</v>
      </c>
      <c r="C3" s="18"/>
      <c r="D3" s="2" t="s">
        <v>121</v>
      </c>
    </row>
    <row r="4" spans="1:13" x14ac:dyDescent="0.25">
      <c r="A4" s="11">
        <v>350000</v>
      </c>
      <c r="B4" s="13" t="s">
        <v>39</v>
      </c>
      <c r="C4" s="19">
        <v>480</v>
      </c>
      <c r="D4" s="11">
        <v>200000</v>
      </c>
      <c r="E4" s="11" t="s">
        <v>118</v>
      </c>
      <c r="G4" s="11"/>
      <c r="H4" s="11"/>
      <c r="I4" s="11"/>
      <c r="J4" s="11"/>
      <c r="K4" s="11"/>
      <c r="L4" s="11"/>
      <c r="M4" s="11"/>
    </row>
    <row r="5" spans="1:13" x14ac:dyDescent="0.25">
      <c r="A5" s="11"/>
      <c r="B5" s="13" t="s">
        <v>40</v>
      </c>
      <c r="C5" s="19">
        <v>60</v>
      </c>
      <c r="D5" s="11">
        <v>65028.95</v>
      </c>
      <c r="E5" t="s">
        <v>71</v>
      </c>
      <c r="F5" t="s">
        <v>125</v>
      </c>
      <c r="G5">
        <v>3901011738</v>
      </c>
      <c r="H5" s="4" t="s">
        <v>126</v>
      </c>
      <c r="I5" s="11"/>
      <c r="J5" s="11"/>
      <c r="K5" s="11"/>
      <c r="L5" s="11"/>
      <c r="M5" s="11"/>
    </row>
    <row r="6" spans="1:13" x14ac:dyDescent="0.25">
      <c r="A6" s="11"/>
      <c r="B6" s="13" t="s">
        <v>117</v>
      </c>
      <c r="C6" s="19">
        <f>8%*Sale_price</f>
        <v>28000</v>
      </c>
      <c r="D6" s="11">
        <v>32787.64</v>
      </c>
      <c r="E6" t="s">
        <v>70</v>
      </c>
      <c r="F6" t="s">
        <v>125</v>
      </c>
      <c r="G6">
        <v>3901011716</v>
      </c>
      <c r="H6" s="4" t="s">
        <v>126</v>
      </c>
      <c r="I6" s="11"/>
      <c r="J6" s="11"/>
      <c r="K6" s="11"/>
      <c r="L6" s="11"/>
      <c r="M6" s="11"/>
    </row>
    <row r="7" spans="1:13" x14ac:dyDescent="0.25">
      <c r="A7" s="11"/>
      <c r="B7" s="13" t="s">
        <v>42</v>
      </c>
      <c r="C7" s="19">
        <v>0</v>
      </c>
      <c r="D7" s="11">
        <v>22030.11</v>
      </c>
      <c r="E7" t="s">
        <v>127</v>
      </c>
      <c r="F7" t="s">
        <v>125</v>
      </c>
      <c r="G7" s="30">
        <v>923763564</v>
      </c>
      <c r="H7" t="s">
        <v>128</v>
      </c>
      <c r="I7" s="11"/>
      <c r="J7" s="11"/>
      <c r="K7" s="11"/>
      <c r="L7" s="11"/>
      <c r="M7" s="11"/>
    </row>
    <row r="8" spans="1:13" x14ac:dyDescent="0.25">
      <c r="A8" s="11"/>
      <c r="B8" s="13" t="s">
        <v>43</v>
      </c>
      <c r="C8" s="19">
        <v>30</v>
      </c>
      <c r="D8" s="11">
        <v>25709.38</v>
      </c>
      <c r="E8" t="s">
        <v>129</v>
      </c>
      <c r="F8" t="s">
        <v>125</v>
      </c>
      <c r="G8" s="32">
        <v>20689470</v>
      </c>
      <c r="H8" s="4" t="s">
        <v>130</v>
      </c>
      <c r="I8" s="11"/>
      <c r="J8" s="11"/>
      <c r="K8" s="11"/>
      <c r="L8" s="11"/>
      <c r="M8" s="11"/>
    </row>
    <row r="9" spans="1:13" x14ac:dyDescent="0.25">
      <c r="A9" s="11"/>
      <c r="B9" s="13" t="s">
        <v>89</v>
      </c>
      <c r="C9" s="25">
        <v>1499</v>
      </c>
      <c r="D9" s="11">
        <v>37550.870000000003</v>
      </c>
      <c r="E9" t="s">
        <v>131</v>
      </c>
      <c r="F9" t="s">
        <v>125</v>
      </c>
      <c r="G9" s="32">
        <v>20689489</v>
      </c>
      <c r="H9" s="4" t="s">
        <v>130</v>
      </c>
      <c r="I9" s="11"/>
      <c r="J9" s="11"/>
      <c r="K9" s="11"/>
      <c r="L9" s="11"/>
      <c r="M9" s="11"/>
    </row>
    <row r="10" spans="1:13" x14ac:dyDescent="0.25">
      <c r="A10" s="11"/>
      <c r="B10" s="13" t="s">
        <v>90</v>
      </c>
      <c r="C10" s="25">
        <v>35</v>
      </c>
      <c r="D10" s="11">
        <v>11127.95</v>
      </c>
      <c r="E10" t="s">
        <v>131</v>
      </c>
      <c r="F10" t="s">
        <v>121</v>
      </c>
      <c r="G10" s="30">
        <v>22246088</v>
      </c>
      <c r="H10" s="4" t="s">
        <v>130</v>
      </c>
      <c r="I10" s="11"/>
      <c r="J10" s="11"/>
      <c r="K10" s="11"/>
      <c r="L10" s="11"/>
      <c r="M10" s="11"/>
    </row>
    <row r="11" spans="1:13" x14ac:dyDescent="0.25">
      <c r="A11" s="11"/>
      <c r="B11" s="13" t="s">
        <v>93</v>
      </c>
      <c r="C11" s="25"/>
      <c r="D11" s="11"/>
      <c r="E11" s="6"/>
      <c r="F11" s="11"/>
      <c r="G11" s="11"/>
      <c r="H11" s="11"/>
      <c r="I11" s="11"/>
      <c r="J11" s="11"/>
      <c r="K11" s="11"/>
      <c r="L11" s="11"/>
      <c r="M11" s="11"/>
    </row>
    <row r="12" spans="1:13" ht="16.5" thickBot="1" x14ac:dyDescent="0.3">
      <c r="A12" s="11"/>
      <c r="B12" s="14" t="s">
        <v>44</v>
      </c>
      <c r="C12" s="15">
        <v>3000</v>
      </c>
      <c r="D12" s="20">
        <v>0</v>
      </c>
      <c r="E12" s="21" t="s">
        <v>75</v>
      </c>
      <c r="F12" s="11"/>
      <c r="G12" s="11"/>
      <c r="H12" s="11"/>
      <c r="I12" s="11"/>
      <c r="J12" s="11"/>
      <c r="K12" s="11"/>
      <c r="L12" s="11"/>
      <c r="M12" s="11"/>
    </row>
    <row r="13" spans="1:13" x14ac:dyDescent="0.25">
      <c r="A13" s="11"/>
      <c r="B13" s="16" t="s">
        <v>74</v>
      </c>
      <c r="C13" s="17">
        <f>SUM(C4:C12)</f>
        <v>33104</v>
      </c>
      <c r="D13" s="22">
        <f>SUM(D5:D12)</f>
        <v>194234.9</v>
      </c>
      <c r="E13" s="2" t="s">
        <v>74</v>
      </c>
      <c r="F13" s="11"/>
      <c r="G13" s="11"/>
      <c r="H13" s="11"/>
      <c r="I13" s="11"/>
      <c r="J13" s="11"/>
      <c r="K13" s="11"/>
      <c r="L13" s="11"/>
      <c r="M13" s="11"/>
    </row>
    <row r="14" spans="1:13" x14ac:dyDescent="0.25">
      <c r="A14" s="11"/>
      <c r="B14" s="11"/>
      <c r="C14" s="11"/>
      <c r="D14" s="3"/>
      <c r="E14" s="11"/>
      <c r="F14" s="11"/>
      <c r="G14" s="11"/>
      <c r="H14" s="11"/>
      <c r="I14" s="11"/>
      <c r="J14" s="11"/>
      <c r="K14" s="11"/>
      <c r="L14" s="11"/>
      <c r="M14" s="11"/>
    </row>
    <row r="15" spans="1:13" x14ac:dyDescent="0.25">
      <c r="A15" s="11">
        <f>-Sale_price</f>
        <v>-350000</v>
      </c>
      <c r="B15" s="11" t="s">
        <v>76</v>
      </c>
      <c r="C15" s="11"/>
      <c r="D15" s="22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5.75" customHeight="1" x14ac:dyDescent="0.25">
      <c r="A16" s="11">
        <f>-C13</f>
        <v>-33104</v>
      </c>
      <c r="B16" s="11" t="s">
        <v>79</v>
      </c>
      <c r="C16" s="11"/>
      <c r="D16" s="11"/>
      <c r="F16" s="11"/>
      <c r="G16" s="11"/>
      <c r="H16" s="11"/>
      <c r="I16" s="11"/>
      <c r="J16" s="11"/>
      <c r="K16" s="11"/>
      <c r="L16" s="11"/>
      <c r="M16" s="11"/>
    </row>
    <row r="17" spans="1:13" ht="16.5" customHeight="1" thickBot="1" x14ac:dyDescent="0.3">
      <c r="A17" s="20">
        <f>D13</f>
        <v>194234.9</v>
      </c>
      <c r="B17" s="20" t="s">
        <v>77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x14ac:dyDescent="0.25">
      <c r="A18" s="22">
        <f>SUM(A15:A17)</f>
        <v>-188869.1</v>
      </c>
      <c r="B18" s="22" t="s">
        <v>78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x14ac:dyDescent="0.25">
      <c r="A19" s="6">
        <f>A18/A15</f>
        <v>0.53962600000000005</v>
      </c>
      <c r="B19" s="11" t="s">
        <v>119</v>
      </c>
      <c r="C19" s="11"/>
      <c r="D19" s="11"/>
      <c r="E19" s="11"/>
      <c r="F19" s="11" t="s">
        <v>115</v>
      </c>
      <c r="G19" s="11"/>
      <c r="H19" s="11"/>
      <c r="I19" s="11"/>
      <c r="J19" s="11"/>
      <c r="K19" s="11"/>
      <c r="L19" s="11"/>
      <c r="M19" s="11"/>
    </row>
    <row r="20" spans="1:13" x14ac:dyDescent="0.25">
      <c r="A20" s="22" t="s">
        <v>60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x14ac:dyDescent="0.25">
      <c r="A21" s="11">
        <f>A$18*B21/12</f>
        <v>-629.56366666666668</v>
      </c>
      <c r="B21" s="6">
        <v>0.04</v>
      </c>
      <c r="C21" s="11" t="s">
        <v>80</v>
      </c>
      <c r="D21" s="11"/>
      <c r="E21" s="11"/>
      <c r="F21" s="11"/>
      <c r="G21" s="11"/>
      <c r="H21" s="11"/>
      <c r="I21" s="11"/>
      <c r="J21" s="24"/>
      <c r="K21" s="11"/>
      <c r="L21" s="11"/>
      <c r="M21" s="11"/>
    </row>
    <row r="22" spans="1:13" x14ac:dyDescent="0.25">
      <c r="A22" s="11">
        <f>-B22/12</f>
        <v>-12.5</v>
      </c>
      <c r="B22" s="11">
        <v>150</v>
      </c>
      <c r="C22" s="11" t="s">
        <v>94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x14ac:dyDescent="0.25">
      <c r="A23" s="11">
        <f>-B23*A24</f>
        <v>-110</v>
      </c>
      <c r="B23" s="11">
        <v>0.1</v>
      </c>
      <c r="C23" s="11" t="s">
        <v>92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x14ac:dyDescent="0.25">
      <c r="A24" s="11">
        <f>B24</f>
        <v>1100</v>
      </c>
      <c r="B24" s="11">
        <v>1100</v>
      </c>
      <c r="C24" s="11" t="s">
        <v>122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x14ac:dyDescent="0.25">
      <c r="A25" s="11">
        <f>-B25/12</f>
        <v>-416.66666666666669</v>
      </c>
      <c r="B25" s="11">
        <v>5000</v>
      </c>
      <c r="C25" s="11" t="s">
        <v>120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6.5" thickBot="1" x14ac:dyDescent="0.3">
      <c r="A26" s="20">
        <f>SUM(A22:A24)*-B26</f>
        <v>-195.5</v>
      </c>
      <c r="B26" s="23">
        <v>0.2</v>
      </c>
      <c r="C26" s="20" t="s">
        <v>81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x14ac:dyDescent="0.25">
      <c r="A27" s="22">
        <f>SUM(A21:A26)</f>
        <v>-264.23033333333336</v>
      </c>
      <c r="B27" s="22" t="s">
        <v>98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x14ac:dyDescent="0.25">
      <c r="A29" s="22" t="s">
        <v>82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x14ac:dyDescent="0.25">
      <c r="A30" s="11">
        <v>26755.966666666664</v>
      </c>
      <c r="B30" s="11" t="s">
        <v>84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x14ac:dyDescent="0.25">
      <c r="A31" s="11">
        <v>30867.266666666666</v>
      </c>
      <c r="B31" s="11" t="s">
        <v>85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25">
      <c r="A32" s="11"/>
      <c r="B32" s="11"/>
      <c r="C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x14ac:dyDescent="0.25">
      <c r="A33" s="22" t="s">
        <v>86</v>
      </c>
      <c r="B33" s="11"/>
      <c r="C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x14ac:dyDescent="0.25">
      <c r="A34" s="11">
        <f>2*Sheet1!B46</f>
        <v>62127.54</v>
      </c>
      <c r="B34" s="11" t="s">
        <v>87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25">
      <c r="A35" s="11">
        <f>2*(Sheet1!B47-E35)</f>
        <v>19920</v>
      </c>
      <c r="C35" s="11" t="s">
        <v>91</v>
      </c>
      <c r="D35" s="11"/>
      <c r="E35" s="11">
        <v>1000</v>
      </c>
      <c r="F35" s="11"/>
      <c r="G35" s="11"/>
      <c r="H35" s="11"/>
      <c r="I35" s="11"/>
      <c r="J35" s="11"/>
      <c r="K35" s="11"/>
      <c r="L35" s="11"/>
      <c r="M35" s="11"/>
    </row>
    <row r="36" spans="1:13" x14ac:dyDescent="0.25">
      <c r="A36" s="11">
        <v>1170</v>
      </c>
      <c r="B36" s="11" t="s">
        <v>88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x14ac:dyDescent="0.25">
      <c r="A38" s="11">
        <v>267304</v>
      </c>
      <c r="B38" s="11" t="s">
        <v>95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x14ac:dyDescent="0.25">
      <c r="A39" s="11">
        <f>A18+A38</f>
        <v>78434.899999999994</v>
      </c>
      <c r="B39" s="11" t="s">
        <v>96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ht="16.5" thickBot="1" x14ac:dyDescent="0.3">
      <c r="A40" s="20">
        <f>2*B40</f>
        <v>0</v>
      </c>
      <c r="B40" s="20">
        <v>0</v>
      </c>
      <c r="C40" s="11" t="s">
        <v>97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x14ac:dyDescent="0.25">
      <c r="A41" s="22">
        <f>A39+A40</f>
        <v>78434.899999999994</v>
      </c>
      <c r="B41" s="22" t="s">
        <v>99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x14ac:dyDescent="0.25">
      <c r="A42" s="22"/>
      <c r="B42" s="2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x14ac:dyDescent="0.25">
      <c r="A43" s="11">
        <f>-A38</f>
        <v>-267304</v>
      </c>
      <c r="B43" s="11" t="s">
        <v>100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 x14ac:dyDescent="0.25">
      <c r="A44" s="11">
        <f>SUM(A30:A31)</f>
        <v>57623.23333333333</v>
      </c>
      <c r="B44" s="11" t="s">
        <v>101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ht="16.5" thickBot="1" x14ac:dyDescent="0.3">
      <c r="A45" s="20" t="e">
        <f>#REF!</f>
        <v>#REF!</v>
      </c>
      <c r="B45" s="20" t="s">
        <v>83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x14ac:dyDescent="0.25">
      <c r="A46" s="22" t="e">
        <f>SUM(A43:A45)</f>
        <v>#REF!</v>
      </c>
      <c r="B46" s="22" t="s">
        <v>102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x14ac:dyDescent="0.25">
      <c r="A47" s="22"/>
      <c r="B47" s="22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x14ac:dyDescent="0.25">
      <c r="A48" s="11" t="s">
        <v>114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x14ac:dyDescent="0.25">
      <c r="A50" s="22" t="s">
        <v>103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x14ac:dyDescent="0.25">
      <c r="A51" s="11">
        <f>-B51/12</f>
        <v>-12.5</v>
      </c>
      <c r="B51" s="11">
        <v>150</v>
      </c>
      <c r="C51" s="11" t="s">
        <v>94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 x14ac:dyDescent="0.25">
      <c r="A52" s="11">
        <v>-100</v>
      </c>
      <c r="B52" s="11"/>
      <c r="C52" s="11" t="s">
        <v>113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 x14ac:dyDescent="0.25">
      <c r="A53" s="11">
        <f>-B53*A54</f>
        <v>-125</v>
      </c>
      <c r="B53" s="6">
        <v>0.1</v>
      </c>
      <c r="C53" s="11" t="s">
        <v>92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1:13" x14ac:dyDescent="0.25">
      <c r="A54" s="11">
        <f>B54</f>
        <v>1250</v>
      </c>
      <c r="B54" s="11">
        <v>1250</v>
      </c>
      <c r="C54" s="11" t="s">
        <v>61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1:13" x14ac:dyDescent="0.25">
      <c r="A55" s="11" t="e">
        <f>A46*B55/12</f>
        <v>#REF!</v>
      </c>
      <c r="B55" s="6">
        <v>0.02</v>
      </c>
      <c r="C55" s="11" t="s">
        <v>104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1:13" ht="16.5" thickBot="1" x14ac:dyDescent="0.3">
      <c r="A56" s="20">
        <f>SUM(A51:A54)*-B56</f>
        <v>-202.5</v>
      </c>
      <c r="B56" s="23">
        <v>0.2</v>
      </c>
      <c r="C56" s="20" t="s">
        <v>81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x14ac:dyDescent="0.25">
      <c r="A57" s="22" t="e">
        <f>SUM(A47:A56)</f>
        <v>#REF!</v>
      </c>
      <c r="B57" s="22" t="s">
        <v>105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1:13" x14ac:dyDescent="0.25">
      <c r="A58" s="11">
        <f>SUM(Sheet1!C31:C32)/12</f>
        <v>1545.6584</v>
      </c>
      <c r="B58" s="11" t="s">
        <v>106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13" x14ac:dyDescent="0.25">
      <c r="A59" s="11">
        <f>SUM(Sheet1!B31:B32)/12*(1-B56)</f>
        <v>4526.82672</v>
      </c>
      <c r="B59" s="11" t="s">
        <v>107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13" x14ac:dyDescent="0.25">
      <c r="A60" s="11">
        <f>((2*(E35+24*250))+(A34-A40))*B60/12</f>
        <v>95.159424999999999</v>
      </c>
      <c r="B60" s="6">
        <v>1.4999999999999999E-2</v>
      </c>
      <c r="C60" s="11" t="s">
        <v>111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 ht="16.5" thickBot="1" x14ac:dyDescent="0.3">
      <c r="A61" s="20">
        <f>(1-B56)*B61/12</f>
        <v>93.333333333333329</v>
      </c>
      <c r="B61" s="20">
        <v>1400</v>
      </c>
      <c r="C61" s="20" t="s">
        <v>112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1:13" x14ac:dyDescent="0.25">
      <c r="A62" s="22" t="e">
        <f>SUM(A57:A61)</f>
        <v>#REF!</v>
      </c>
      <c r="B62" s="22" t="s">
        <v>108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13" x14ac:dyDescent="0.25">
      <c r="D63" s="11"/>
      <c r="E63" s="11"/>
    </row>
    <row r="64" spans="1:13" x14ac:dyDescent="0.25">
      <c r="A64">
        <f>(1789.7+2545.04+2336.51+1440.99)</f>
        <v>8112.24</v>
      </c>
      <c r="B64" t="s">
        <v>109</v>
      </c>
      <c r="D64" s="11"/>
      <c r="E64" s="11"/>
    </row>
    <row r="65" spans="1:5" x14ac:dyDescent="0.25">
      <c r="A65" s="11" t="e">
        <f>A62-A64</f>
        <v>#REF!</v>
      </c>
      <c r="B65" t="s">
        <v>110</v>
      </c>
    </row>
    <row r="69" spans="1:5" x14ac:dyDescent="0.25">
      <c r="A69" t="s">
        <v>71</v>
      </c>
      <c r="B69" t="s">
        <v>125</v>
      </c>
      <c r="C69">
        <v>3901011738</v>
      </c>
      <c r="D69" s="4" t="s">
        <v>126</v>
      </c>
      <c r="E69" s="29">
        <v>65028.95</v>
      </c>
    </row>
    <row r="70" spans="1:5" x14ac:dyDescent="0.25">
      <c r="A70" t="s">
        <v>70</v>
      </c>
      <c r="B70" t="s">
        <v>125</v>
      </c>
      <c r="C70">
        <v>3901011716</v>
      </c>
      <c r="D70" s="4" t="s">
        <v>126</v>
      </c>
      <c r="E70" s="29">
        <v>32787.64</v>
      </c>
    </row>
    <row r="71" spans="1:5" x14ac:dyDescent="0.25">
      <c r="A71" t="s">
        <v>127</v>
      </c>
      <c r="B71" t="s">
        <v>125</v>
      </c>
      <c r="C71" s="30">
        <v>923763564</v>
      </c>
      <c r="D71" t="s">
        <v>128</v>
      </c>
      <c r="E71" s="31">
        <v>22030.11</v>
      </c>
    </row>
    <row r="72" spans="1:5" x14ac:dyDescent="0.25">
      <c r="A72" t="s">
        <v>129</v>
      </c>
      <c r="B72" t="s">
        <v>125</v>
      </c>
      <c r="C72" s="32">
        <v>20689470</v>
      </c>
      <c r="D72" s="4" t="s">
        <v>130</v>
      </c>
      <c r="E72" s="31">
        <v>25709.38</v>
      </c>
    </row>
    <row r="73" spans="1:5" x14ac:dyDescent="0.25">
      <c r="A73" t="s">
        <v>131</v>
      </c>
      <c r="B73" t="s">
        <v>125</v>
      </c>
      <c r="C73" s="32">
        <v>20689489</v>
      </c>
      <c r="D73" s="4" t="s">
        <v>130</v>
      </c>
      <c r="E73" s="31">
        <v>37550.870000000003</v>
      </c>
    </row>
    <row r="74" spans="1:5" x14ac:dyDescent="0.25">
      <c r="A74" t="s">
        <v>131</v>
      </c>
      <c r="B74" t="s">
        <v>121</v>
      </c>
      <c r="C74" s="30">
        <v>22246088</v>
      </c>
      <c r="D74" s="4" t="s">
        <v>130</v>
      </c>
      <c r="E74" s="31">
        <v>11127.95</v>
      </c>
    </row>
  </sheetData>
  <mergeCells count="2">
    <mergeCell ref="A1:F1"/>
    <mergeCell ref="A2:F2"/>
  </mergeCells>
  <pageMargins left="0.25" right="0.25" top="0.75" bottom="0.75" header="0.3" footer="0.3"/>
  <pageSetup paperSize="9" fitToHeight="0" orientation="portrait" horizontalDpi="4294967293" verticalDpi="0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Sheet1</vt:lpstr>
      <vt:lpstr>Sheet2</vt:lpstr>
      <vt:lpstr>allowance</vt:lpstr>
      <vt:lpstr>defer</vt:lpstr>
      <vt:lpstr>mrate</vt:lpstr>
      <vt:lpstr>rate</vt:lpstr>
      <vt:lpstr>Sale_price</vt:lpstr>
      <vt:lpstr>state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THOMPSON Catharine</dc:creator>
  <cp:lastModifiedBy>Henry Thompson</cp:lastModifiedBy>
  <cp:lastPrinted>2020-01-18T18:15:22Z</cp:lastPrinted>
  <dcterms:created xsi:type="dcterms:W3CDTF">2019-01-28T16:05:11Z</dcterms:created>
  <dcterms:modified xsi:type="dcterms:W3CDTF">2025-06-16T21:19:22Z</dcterms:modified>
</cp:coreProperties>
</file>