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3F280999-DCD3-4812-BE21-C390A4495099}" xr6:coauthVersionLast="47" xr6:coauthVersionMax="47" xr10:uidLastSave="{00000000-0000-0000-0000-000000000000}"/>
  <bookViews>
    <workbookView xWindow="-120" yWindow="-120" windowWidth="30960" windowHeight="17520" activeTab="1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allowance">Sheet1!$F$35</definedName>
    <definedName name="avg_int">Sheet2!$C$26</definedName>
    <definedName name="defer">Sheet1!$F$32</definedName>
    <definedName name="mrate">Sheet1!$H$15</definedName>
    <definedName name="normal">Sheet2!$H$25</definedName>
    <definedName name="off_incr">Sheet2!$L$6</definedName>
    <definedName name="offset">Sheet2!$H$24</definedName>
    <definedName name="rate">Sheet1!$F$36</definedName>
    <definedName name="Sale_price">Sheet2!$B$4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D13" i="2" l="1"/>
  <c r="D4" i="2"/>
  <c r="A22" i="2"/>
  <c r="C20" i="2"/>
  <c r="D6" i="2"/>
  <c r="D5" i="2"/>
  <c r="D10" i="2"/>
  <c r="D9" i="2"/>
  <c r="D8" i="2"/>
  <c r="D12" i="2"/>
  <c r="E120" i="2"/>
  <c r="I129" i="2" s="1"/>
  <c r="A21" i="2"/>
  <c r="D126" i="2"/>
  <c r="K126" i="2" s="1"/>
  <c r="D136" i="2"/>
  <c r="P136" i="2" s="1"/>
  <c r="V28" i="2"/>
  <c r="V29" i="2"/>
  <c r="V30" i="2"/>
  <c r="V22" i="3"/>
  <c r="V23" i="3"/>
  <c r="V24" i="3"/>
  <c r="V27" i="2"/>
  <c r="V21" i="3"/>
  <c r="V22" i="2"/>
  <c r="V23" i="2"/>
  <c r="V24" i="2"/>
  <c r="V16" i="3"/>
  <c r="V17" i="3"/>
  <c r="V18" i="3"/>
  <c r="V21" i="2"/>
  <c r="V15" i="3"/>
  <c r="N136" i="2"/>
  <c r="I136" i="2"/>
  <c r="N135" i="2"/>
  <c r="I135" i="2"/>
  <c r="N134" i="2"/>
  <c r="I134" i="2"/>
  <c r="N133" i="2"/>
  <c r="I133" i="2"/>
  <c r="F123" i="2"/>
  <c r="E123" i="2"/>
  <c r="F122" i="2"/>
  <c r="E122" i="2"/>
  <c r="G117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6" i="2"/>
  <c r="G116" i="2"/>
  <c r="G115" i="2"/>
  <c r="M133" i="2"/>
  <c r="M134" i="2"/>
  <c r="M135" i="2"/>
  <c r="M136" i="2"/>
  <c r="D135" i="2"/>
  <c r="P135" i="2" s="1"/>
  <c r="N126" i="2"/>
  <c r="O126" i="2" s="1"/>
  <c r="I126" i="2"/>
  <c r="F120" i="2"/>
  <c r="N129" i="2" s="1"/>
  <c r="D128" i="2"/>
  <c r="K128" i="2" s="1"/>
  <c r="D127" i="2"/>
  <c r="P127" i="2" s="1"/>
  <c r="D27" i="2"/>
  <c r="C26" i="2"/>
  <c r="F42" i="2" s="1"/>
  <c r="G26" i="2"/>
  <c r="H25" i="2"/>
  <c r="G28" i="2" s="1"/>
  <c r="H28" i="2" s="1"/>
  <c r="H24" i="2"/>
  <c r="G27" i="2" s="1"/>
  <c r="H43" i="2" a="1"/>
  <c r="H43" i="2" s="1"/>
  <c r="G43" i="2" s="1"/>
  <c r="G44" i="2" s="1"/>
  <c r="D21" i="2" l="1"/>
  <c r="M6" i="2"/>
  <c r="D18" i="2"/>
  <c r="A23" i="2" s="1"/>
  <c r="P126" i="2"/>
  <c r="Q126" i="2" s="1"/>
  <c r="S126" i="2" s="1"/>
  <c r="T126" i="2" s="1"/>
  <c r="V126" i="2" s="1"/>
  <c r="D134" i="2"/>
  <c r="K134" i="2" s="1"/>
  <c r="D130" i="2"/>
  <c r="P130" i="2" s="1"/>
  <c r="D133" i="2"/>
  <c r="K133" i="2" s="1"/>
  <c r="J21" i="3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8" i="2"/>
  <c r="K130" i="2"/>
  <c r="K136" i="2"/>
  <c r="K135" i="2"/>
  <c r="I128" i="2"/>
  <c r="I127" i="2"/>
  <c r="N130" i="2"/>
  <c r="K127" i="2"/>
  <c r="N127" i="2"/>
  <c r="N128" i="2"/>
  <c r="I130" i="2"/>
  <c r="D31" i="2"/>
  <c r="H39" i="2"/>
  <c r="G39" i="2"/>
  <c r="D28" i="2"/>
  <c r="D29" i="2" s="1"/>
  <c r="H41" i="2" a="1"/>
  <c r="H41" i="2" s="1"/>
  <c r="G41" i="2" s="1"/>
  <c r="G42" i="2" s="1"/>
  <c r="G31" i="2"/>
  <c r="H31" i="2" s="1"/>
  <c r="H37" i="2"/>
  <c r="G30" i="2"/>
  <c r="H30" i="2" s="1"/>
  <c r="G35" i="2"/>
  <c r="H35" i="2"/>
  <c r="G37" i="2"/>
  <c r="G29" i="2"/>
  <c r="H27" i="2"/>
  <c r="C6" i="2"/>
  <c r="A55" i="2"/>
  <c r="A54" i="2"/>
  <c r="A31" i="2" l="1"/>
  <c r="C23" i="2"/>
  <c r="C31" i="2" s="1"/>
  <c r="P134" i="2"/>
  <c r="E129" i="2"/>
  <c r="D129" i="2" s="1"/>
  <c r="K129" i="2" s="1"/>
  <c r="A28" i="2"/>
  <c r="A30" i="2" s="1"/>
  <c r="J36" i="2" s="1"/>
  <c r="L36" i="2" s="1"/>
  <c r="M36" i="2" s="1"/>
  <c r="P133" i="2"/>
  <c r="Q21" i="3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J40" i="2"/>
  <c r="L40" i="2" s="1"/>
  <c r="M40" i="2" s="1"/>
  <c r="J39" i="2"/>
  <c r="D30" i="2"/>
  <c r="G32" i="2"/>
  <c r="A91" i="2"/>
  <c r="A94" i="2"/>
  <c r="A84" i="2"/>
  <c r="A83" i="2" s="1"/>
  <c r="A81" i="2"/>
  <c r="A75" i="2"/>
  <c r="A74" i="2"/>
  <c r="A73" i="2"/>
  <c r="A65" i="2"/>
  <c r="A70" i="2"/>
  <c r="A52" i="2"/>
  <c r="P129" i="2" l="1"/>
  <c r="C28" i="2"/>
  <c r="C29" i="2" s="1"/>
  <c r="J37" i="2" s="1"/>
  <c r="L37" i="2" s="1"/>
  <c r="M37" i="2" s="1"/>
  <c r="A29" i="2"/>
  <c r="J35" i="2" s="1"/>
  <c r="L35" i="2" s="1"/>
  <c r="M35" i="2" s="1"/>
  <c r="L39" i="2"/>
  <c r="M39" i="2" s="1"/>
  <c r="A76" i="2"/>
  <c r="A85" i="2" s="1"/>
  <c r="A86" i="2"/>
  <c r="J42" i="2" l="1"/>
  <c r="L42" i="2" s="1"/>
  <c r="M42" i="2" s="1"/>
  <c r="C30" i="2"/>
  <c r="J38" i="2" s="1"/>
  <c r="L38" i="2" s="1"/>
  <c r="M38" i="2" s="1"/>
  <c r="J41" i="2"/>
  <c r="L41" i="2" s="1"/>
  <c r="M41" i="2" s="1"/>
  <c r="A87" i="2"/>
  <c r="A53" i="2"/>
  <c r="A56" i="2" s="1"/>
  <c r="C18" i="2" l="1"/>
  <c r="E16" i="1" l="1"/>
  <c r="C6" i="1"/>
  <c r="E7" i="1"/>
  <c r="C50" i="1"/>
  <c r="B45" i="1"/>
  <c r="B46" i="1" s="1"/>
  <c r="A64" i="2" s="1"/>
  <c r="A90" i="2" s="1"/>
  <c r="E24" i="1"/>
  <c r="E6" i="1"/>
  <c r="C9" i="1"/>
  <c r="G12" i="1"/>
  <c r="E12" i="1" s="1"/>
  <c r="C11" i="1"/>
  <c r="C24" i="2" l="1"/>
  <c r="D24" i="2" s="1"/>
  <c r="B116" i="2"/>
  <c r="A24" i="2"/>
  <c r="A51" i="2" s="1"/>
  <c r="C32" i="1"/>
  <c r="C31" i="1"/>
  <c r="A88" i="2" s="1"/>
  <c r="C27" i="1"/>
  <c r="C12" i="1"/>
  <c r="J15" i="1"/>
  <c r="J14" i="1"/>
  <c r="C4" i="1"/>
  <c r="F133" i="2" l="1"/>
  <c r="F135" i="2"/>
  <c r="F136" i="2"/>
  <c r="F129" i="2"/>
  <c r="F128" i="2"/>
  <c r="F134" i="2"/>
  <c r="F127" i="2"/>
  <c r="A57" i="2"/>
  <c r="A25" i="2"/>
  <c r="A69" i="2"/>
  <c r="A71" i="2" s="1"/>
  <c r="J18" i="1"/>
  <c r="C33" i="1"/>
  <c r="R127" i="2" l="1"/>
  <c r="O127" i="2"/>
  <c r="J127" i="2"/>
  <c r="R133" i="2"/>
  <c r="J133" i="2"/>
  <c r="O133" i="2"/>
  <c r="R128" i="2"/>
  <c r="J128" i="2"/>
  <c r="O128" i="2"/>
  <c r="R135" i="2"/>
  <c r="O135" i="2"/>
  <c r="J135" i="2"/>
  <c r="R129" i="2"/>
  <c r="O129" i="2"/>
  <c r="J129" i="2"/>
  <c r="R134" i="2"/>
  <c r="J134" i="2"/>
  <c r="O134" i="2"/>
  <c r="R136" i="2"/>
  <c r="O136" i="2"/>
  <c r="J136" i="2"/>
  <c r="C7" i="1"/>
  <c r="E19" i="1" s="1"/>
  <c r="F19" i="1" s="1"/>
  <c r="Q128" i="2" l="1"/>
  <c r="S128" i="2" s="1"/>
  <c r="T128" i="2" s="1"/>
  <c r="V128" i="2" s="1"/>
  <c r="V139" i="2" s="1"/>
  <c r="V140" i="2" s="1"/>
  <c r="Q136" i="2"/>
  <c r="S136" i="2" s="1"/>
  <c r="T136" i="2" s="1"/>
  <c r="V136" i="2" s="1"/>
  <c r="Q135" i="2"/>
  <c r="S135" i="2" s="1"/>
  <c r="T135" i="2" s="1"/>
  <c r="V135" i="2" s="1"/>
  <c r="Q133" i="2"/>
  <c r="S133" i="2" s="1"/>
  <c r="T133" i="2" s="1"/>
  <c r="V133" i="2" s="1"/>
  <c r="Q129" i="2"/>
  <c r="S129" i="2" s="1"/>
  <c r="T129" i="2" s="1"/>
  <c r="V129" i="2" s="1"/>
  <c r="Q127" i="2"/>
  <c r="S127" i="2" s="1"/>
  <c r="T127" i="2" s="1"/>
  <c r="V127" i="2" s="1"/>
  <c r="Q134" i="2"/>
  <c r="S134" i="2" s="1"/>
  <c r="T134" i="2" s="1"/>
  <c r="V134" i="2" s="1"/>
  <c r="C15" i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9" i="2"/>
  <c r="A92" i="2" s="1"/>
  <c r="A95" i="2" s="1"/>
  <c r="B29" i="1"/>
  <c r="B16" i="1"/>
  <c r="B38" i="1" l="1"/>
  <c r="B18" i="1"/>
  <c r="B19" i="1" s="1"/>
  <c r="B21" i="1" s="1"/>
  <c r="F130" i="2" l="1"/>
  <c r="R130" i="2" s="1"/>
  <c r="O130" i="2" l="1"/>
  <c r="J130" i="2"/>
  <c r="Q130" i="2" l="1"/>
  <c r="S130" i="2" s="1"/>
  <c r="T130" i="2" s="1"/>
  <c r="V13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<sst xmlns="http://schemas.openxmlformats.org/spreadsheetml/2006/main" count="349" uniqueCount="209">
  <si>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</si>
  <si>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</si>
  <si>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</si>
  <si>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</si>
  <si>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</si>
  <si>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</si>
  <si>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</si>
  <si>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</si>
  <si>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</si>
  <si>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</si>
  <si>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</si>
  <si>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</si>
  <si>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</si>
  <si>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</si>
  <si>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</si>
  <si>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</si>
  <si>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</si>
  <si>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</si>
  <si>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</si>
  <si>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</si>
  <si>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</si>
  <si>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</si>
  <si>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</si>
  <si>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</si>
  <si>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</si>
  <si>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</si>
  <si>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</si>
  <si>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</si>
  <si>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</si>
  <si>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</si>
  <si>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</si>
  <si>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</si>
  <si>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</si>
  <si>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</si>
  <si>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</si>
  <si>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</si>
  <si>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</si>
  <si>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</si>
  <si>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</si>
  <si>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</si>
  <si>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</si>
  <si>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</si>
  <si>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</si>
  <si>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</si>
  <si>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</si>
  <si>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</si>
  <si>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</si>
  <si>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</si>
  <si>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</si>
  <si>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</si>
  <si>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</si>
  <si>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</si>
  <si>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</si>
  <si>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</si>
  <si>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</si>
  <si>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</si>
  <si>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</si>
  <si>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</si>
  <si>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</si>
  <si>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</si>
  <si>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</si>
  <si>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</si>
  <si>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</si>
  <si>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</si>
  <si>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</si>
  <si>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</si>
  <si>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</si>
  <si>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</si>
  <si>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</si>
  <si>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</si>
  <si>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</si>
  <si>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</si>
  <si>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</si>
  <si>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</si>
  <si>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</si>
  <si>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</si>
  <si>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</si>
  <si>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</si>
  <si>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</si>
  <si>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</si>
  <si>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</si>
  <si>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</si>
  <si>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</si>
  <si>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</si>
  <si>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</si>
  <si>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</si>
  <si>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</si>
  <si>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</si>
  <si>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</si>
  <si>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</si>
  <si>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</si>
  <si>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</si>
  <si>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</si>
  <si>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</si>
  <si>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</si>
  <si>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</si>
  <si>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</si>
  <si>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</si>
  <si>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</si>
  <si>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</si>
  <si>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</si>
  <si>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</si>
  <si>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</si>
  <si>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</si>
  <si>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</si>
  <si>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</si>
  <si>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</si>
  <si>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</si>
  <si>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</si>
  <si>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</si>
  <si>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</si>
  <si>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</si>
  <si>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</si>
  <si>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</si>
  <si>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</si>
  <si>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Contingencies</t>
  </si>
  <si>
    <t>Savings</t>
  </si>
  <si>
    <t>Belford Rent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</si>
  <si>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</si>
  <si>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</si>
  <si>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</si>
  <si>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</si>
  <si>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</si>
  <si>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</si>
  <si>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</si>
  <si>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</si>
  <si>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</si>
  <si>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</si>
  <si>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</si>
  <si>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</si>
  <si>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</si>
  <si>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</si>
  <si>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</si>
  <si>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</si>
  <si>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</si>
  <si>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</si>
  <si>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</si>
  <si>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</si>
  <si>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</si>
  <si>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</si>
  <si>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</si>
  <si>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</si>
  <si>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</si>
  <si>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</si>
  <si>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</si>
  <si>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</si>
  <si>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</si>
  <si>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</si>
  <si>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</si>
  <si>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</si>
  <si>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</si>
  <si>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</si>
  <si>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</si>
  <si>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</si>
  <si>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</si>
  <si>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</si>
  <si>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</si>
  <si>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</si>
  <si>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</si>
  <si>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</si>
  <si>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</si>
  <si>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</si>
  <si>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</si>
  <si>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</si>
  <si>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</si>
  <si>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</si>
  <si>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</si>
  <si>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</si>
  <si>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</si>
  <si>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</si>
  <si>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</si>
  <si>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</si>
  <si>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</si>
  <si>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</si>
  <si>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</si>
  <si>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</si>
  <si>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</si>
  <si>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</si>
  <si>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</si>
  <si>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</si>
  <si>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</si>
  <si>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</si>
  <si>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</si>
  <si>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</si>
  <si>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</si>
  <si>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</si>
  <si>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</si>
  <si>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</si>
  <si>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</si>
  <si>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</si>
  <si>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</si>
  <si>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</si>
  <si>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</si>
  <si>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</si>
  <si>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</si>
  <si>
    <t>Funding the purchase of 76 St. Bartholomew's Court in Cambridge</t>
  </si>
  <si>
    <t>This version: 7 January 2026</t>
  </si>
  <si>
    <t>Search fee and deposit already paid</t>
  </si>
  <si>
    <t>RBS Checking</t>
  </si>
  <si>
    <t>Fees etc to Connell&amp;Connell 2026-02-05</t>
  </si>
  <si>
    <t>Setfords completion statement 2026-02-06</t>
  </si>
  <si>
    <t>Required from us to Setfords to complete</t>
  </si>
  <si>
    <t>25K move requested 2026-02-09</t>
  </si>
  <si>
    <t>Move requested for 2026-02-10</t>
  </si>
  <si>
    <t>25K move completed, 6787.64 requested 2026-02-10</t>
  </si>
  <si>
    <t>To Setfords</t>
  </si>
  <si>
    <t>RBS CWT</t>
  </si>
  <si>
    <t>RBS HST</t>
  </si>
  <si>
    <t>New TSB HST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</si>
</sst>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3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166" fontId="0" fillId="6" borderId="0" xfId="0" applyNumberFormat="1" applyFill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  <xf numFmtId="166" fontId="5" fillId="4" borderId="0" xfId="3" applyNumberFormat="1"/>
    <xf numFmtId="166" fontId="4" fillId="3" borderId="0" xfId="2" applyNumberFormat="1"/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pers\Finances\accounts.xlsx" TargetMode="External"/><Relationship Id="rId1" Type="http://schemas.openxmlformats.org/officeDocument/2006/relationships/externalLinkPath" Target="/Documents/pers/Finances/accou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6">
          <cell r="I6">
            <v>65028.95</v>
          </cell>
        </row>
        <row r="8">
          <cell r="I8">
            <v>31184.99</v>
          </cell>
        </row>
        <row r="11">
          <cell r="I11">
            <v>32787.64</v>
          </cell>
        </row>
        <row r="14">
          <cell r="I14">
            <v>28000</v>
          </cell>
        </row>
        <row r="23">
          <cell r="I23">
            <v>26076.11</v>
          </cell>
        </row>
        <row r="25">
          <cell r="I25">
            <v>38568.43</v>
          </cell>
        </row>
        <row r="27">
          <cell r="I27">
            <v>11429.65</v>
          </cell>
        </row>
        <row r="35">
          <cell r="I35">
            <v>66363.86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Sheet2!D18</f>
        <v>262952.02999999997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-39539</v>
      </c>
      <c r="C7" s="3">
        <f>C6+E16</f>
        <v>223413.02999999997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113</v>
      </c>
      <c r="B15" s="5">
        <v>270000</v>
      </c>
      <c r="C15" s="5">
        <f>E19</f>
        <v>673413.03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92928.300852617715</v>
      </c>
      <c r="C16" s="5">
        <f>F19</f>
        <v>9360.4411170000003</v>
      </c>
      <c r="D16" t="s">
        <v>32</v>
      </c>
      <c r="E16" s="5">
        <f>-Sheet2!C18</f>
        <v>-39539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177489.00085261773</v>
      </c>
      <c r="C18" s="10">
        <f>C13+C16+C17+12*Sheet2!A57</f>
        <v>100832.04111699999</v>
      </c>
      <c r="D18" t="s">
        <v>26</v>
      </c>
      <c r="E18" s="5">
        <f>E15+B7</f>
        <v>410461</v>
      </c>
      <c r="F18" s="5">
        <f>-12*PMT(mrate/12,years*12,E18)</f>
        <v>92928.300852617715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14790.750071051478</v>
      </c>
      <c r="C19" s="3">
        <f>C18/12</f>
        <v>8402.6700930833322</v>
      </c>
      <c r="E19" s="5">
        <f>E15+C7</f>
        <v>673413.03</v>
      </c>
      <c r="F19" s="5">
        <f>1.39%*E19</f>
        <v>9360.4411170000003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780.03675974999999</v>
      </c>
    </row>
    <row r="21" spans="1:10" x14ac:dyDescent="0.25">
      <c r="A21" t="s">
        <v>38</v>
      </c>
      <c r="B21" s="1">
        <f>B19-B20</f>
        <v>11990.750071051478</v>
      </c>
      <c r="C21" s="1">
        <f>C19-C20</f>
        <v>5602.6700930833322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9360.4411170000003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780.03675974999999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12665.851791051477</v>
      </c>
      <c r="C38" s="3">
        <f>C37+(C16+C17)/12</f>
        <v>6285.3218264166662</v>
      </c>
      <c r="H38" s="10">
        <f>C37+H24</f>
        <v>6368.6551597499993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3" t="s">
        <v>68</v>
      </c>
    </row>
    <row r="50" spans="1:4" x14ac:dyDescent="0.25">
      <c r="A50" t="s">
        <v>67</v>
      </c>
      <c r="C50">
        <f>C49</f>
        <v>10353.09</v>
      </c>
      <c r="D50" s="53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45"/>
  <sheetViews>
    <sheetView tabSelected="1" zoomScale="73" zoomScaleNormal="73" workbookViewId="0">
      <selection activeCell="A51" sqref="A51"/>
    </sheetView>
  </sheetViews>
  <sheetFormatPr defaultRowHeight="15.75" x14ac:dyDescent="0.25"/>
  <cols>
    <col min="1" max="1" width="14.5" customWidth="1"/>
    <col min="2" max="2" width="10.875" customWidth="1"/>
    <col min="3" max="3" width="11.75" customWidth="1"/>
    <col min="4" max="4" width="13.75" customWidth="1"/>
    <col min="5" max="5" width="14.125" customWidth="1"/>
    <col min="6" max="6" width="10.625" customWidth="1"/>
    <col min="7" max="7" width="10.75" customWidth="1"/>
    <col min="8" max="8" width="10.625" customWidth="1"/>
    <col min="9" max="9" width="9.875" customWidth="1"/>
    <col min="10" max="10" width="12.75" customWidth="1"/>
    <col min="11" max="11" width="9.875" customWidth="1"/>
    <col min="12" max="12" width="7.25" customWidth="1"/>
    <col min="13" max="13" width="9.875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15" ht="18.75" x14ac:dyDescent="0.3">
      <c r="A1" s="54" t="s">
        <v>195</v>
      </c>
      <c r="B1" s="54"/>
      <c r="C1" s="54"/>
      <c r="D1" s="54"/>
      <c r="E1" s="54"/>
      <c r="F1" s="54"/>
    </row>
    <row r="2" spans="1:15" x14ac:dyDescent="0.25">
      <c r="A2" s="55" t="s">
        <v>196</v>
      </c>
      <c r="B2" s="55"/>
      <c r="C2" s="55"/>
      <c r="D2" s="55"/>
      <c r="E2" s="55"/>
      <c r="F2" s="55"/>
    </row>
    <row r="3" spans="1:15" x14ac:dyDescent="0.25">
      <c r="A3" s="2" t="s">
        <v>73</v>
      </c>
      <c r="B3" s="12" t="s">
        <v>72</v>
      </c>
      <c r="C3" s="18"/>
      <c r="D3" s="2" t="s">
        <v>116</v>
      </c>
    </row>
    <row r="4" spans="1:15" x14ac:dyDescent="0.25">
      <c r="A4" s="11" t="s">
        <v>194</v>
      </c>
      <c r="B4" s="12">
        <v>425000</v>
      </c>
      <c r="C4" s="19">
        <v>480</v>
      </c>
      <c r="D4" s="11">
        <f>[1]Sheet1!$I$14+1225.11-12500</f>
        <v>16725.11</v>
      </c>
      <c r="E4" s="11" t="s">
        <v>198</v>
      </c>
      <c r="G4" s="11"/>
      <c r="H4" s="11"/>
      <c r="I4" s="11"/>
      <c r="M4" s="11"/>
      <c r="N4" s="11"/>
    </row>
    <row r="5" spans="1:15" x14ac:dyDescent="0.25">
      <c r="A5" s="11"/>
      <c r="B5" s="13" t="s">
        <v>128</v>
      </c>
      <c r="C5" s="19">
        <v>60</v>
      </c>
      <c r="D5" s="61">
        <f>[1]Sheet1!$I$6-1000</f>
        <v>64028.95</v>
      </c>
      <c r="E5" t="s">
        <v>71</v>
      </c>
      <c r="F5" t="s">
        <v>118</v>
      </c>
      <c r="G5">
        <v>3901011738</v>
      </c>
      <c r="H5" s="4" t="s">
        <v>119</v>
      </c>
      <c r="I5" s="11"/>
      <c r="M5" s="11"/>
      <c r="N5" s="22" t="s">
        <v>202</v>
      </c>
    </row>
    <row r="6" spans="1:15" x14ac:dyDescent="0.25">
      <c r="A6" s="11"/>
      <c r="B6" s="13" t="s">
        <v>114</v>
      </c>
      <c r="C6" s="19">
        <f>8%*Sale_price</f>
        <v>34000</v>
      </c>
      <c r="D6" s="61">
        <f>[1]Sheet1!$I$11-1000</f>
        <v>31787.64</v>
      </c>
      <c r="E6" t="s">
        <v>70</v>
      </c>
      <c r="F6" t="s">
        <v>118</v>
      </c>
      <c r="G6">
        <v>3901011716</v>
      </c>
      <c r="H6" s="4" t="s">
        <v>119</v>
      </c>
      <c r="I6" s="11"/>
      <c r="J6" s="11" t="s">
        <v>140</v>
      </c>
      <c r="K6" s="11"/>
      <c r="L6" s="6">
        <v>5.0000000000000001E-3</v>
      </c>
      <c r="M6" s="11">
        <f>D6-25000</f>
        <v>6787.6399999999994</v>
      </c>
      <c r="N6" s="22" t="s">
        <v>204</v>
      </c>
    </row>
    <row r="7" spans="1:15" x14ac:dyDescent="0.25">
      <c r="A7" s="11"/>
      <c r="B7" s="13" t="s">
        <v>125</v>
      </c>
      <c r="C7" s="19">
        <v>250</v>
      </c>
      <c r="D7" s="11"/>
      <c r="G7" s="28"/>
      <c r="I7" s="11"/>
      <c r="J7" s="11" t="s">
        <v>131</v>
      </c>
      <c r="K7" s="11"/>
      <c r="L7" s="6">
        <v>8.5000000000000006E-3</v>
      </c>
      <c r="M7" s="11"/>
      <c r="N7" s="11"/>
    </row>
    <row r="8" spans="1:15" x14ac:dyDescent="0.25">
      <c r="A8" s="11"/>
      <c r="B8" s="13" t="s">
        <v>43</v>
      </c>
      <c r="C8" s="19">
        <v>30</v>
      </c>
      <c r="D8" s="62">
        <f>[1]Sheet1!$I$23-1000</f>
        <v>25076.11</v>
      </c>
      <c r="E8" t="s">
        <v>122</v>
      </c>
      <c r="F8" t="s">
        <v>118</v>
      </c>
      <c r="G8" s="30">
        <v>20689470</v>
      </c>
      <c r="H8" s="4" t="s">
        <v>123</v>
      </c>
      <c r="I8" s="11"/>
      <c r="J8" s="11" t="s">
        <v>132</v>
      </c>
      <c r="K8" s="11"/>
      <c r="L8" s="6">
        <v>4.3499999999999997E-2</v>
      </c>
      <c r="M8" s="11" t="s">
        <v>139</v>
      </c>
      <c r="N8" s="22" t="s">
        <v>203</v>
      </c>
    </row>
    <row r="9" spans="1:15" x14ac:dyDescent="0.25">
      <c r="A9" s="11"/>
      <c r="B9" s="13" t="s">
        <v>88</v>
      </c>
      <c r="C9" s="25">
        <v>1499</v>
      </c>
      <c r="D9" s="52">
        <f>[1]Sheet1!$I$25-1000</f>
        <v>37568.43</v>
      </c>
      <c r="E9" t="s">
        <v>124</v>
      </c>
      <c r="F9" t="s">
        <v>118</v>
      </c>
      <c r="G9" s="30">
        <v>20689489</v>
      </c>
      <c r="H9" s="4" t="s">
        <v>123</v>
      </c>
      <c r="I9" s="11"/>
      <c r="J9" s="11" t="s">
        <v>155</v>
      </c>
      <c r="K9" s="11"/>
      <c r="L9" s="6"/>
      <c r="M9" s="11"/>
      <c r="N9" s="11"/>
    </row>
    <row r="10" spans="1:15" x14ac:dyDescent="0.25">
      <c r="A10" s="11"/>
      <c r="B10" s="13" t="s">
        <v>89</v>
      </c>
      <c r="C10" s="25">
        <v>20</v>
      </c>
      <c r="D10" s="62">
        <f>[1]Sheet1!$I$27-1000</f>
        <v>10429.65</v>
      </c>
      <c r="E10" t="s">
        <v>124</v>
      </c>
      <c r="F10" t="s">
        <v>116</v>
      </c>
      <c r="G10" s="28">
        <v>22246088</v>
      </c>
      <c r="H10" s="4" t="s">
        <v>123</v>
      </c>
      <c r="I10" s="11"/>
    </row>
    <row r="11" spans="1:15" x14ac:dyDescent="0.25">
      <c r="A11" s="11"/>
      <c r="B11" s="13" t="s">
        <v>126</v>
      </c>
      <c r="C11" s="25">
        <v>700</v>
      </c>
      <c r="D11" s="11">
        <f>[1]Sheet1!$I$35-42612.15</f>
        <v>23751.71</v>
      </c>
      <c r="E11" s="6" t="s">
        <v>208</v>
      </c>
      <c r="F11" s="11"/>
      <c r="G11" s="11"/>
      <c r="H11" s="11"/>
      <c r="I11" s="11"/>
      <c r="O11" t="s">
        <v>136</v>
      </c>
    </row>
    <row r="12" spans="1:15" x14ac:dyDescent="0.25">
      <c r="A12" s="11"/>
      <c r="B12" s="13"/>
      <c r="C12" s="25"/>
      <c r="D12" s="62">
        <f>500+42500</f>
        <v>43000</v>
      </c>
      <c r="E12" s="6" t="s">
        <v>197</v>
      </c>
      <c r="F12" s="11"/>
      <c r="G12" s="11"/>
      <c r="H12" s="11"/>
      <c r="I12" s="11"/>
    </row>
    <row r="13" spans="1:15" x14ac:dyDescent="0.25">
      <c r="A13" s="11"/>
      <c r="B13" s="13"/>
      <c r="C13" s="25"/>
      <c r="D13" s="62">
        <f>[1]Sheet1!$I$8+1399.44-22000</f>
        <v>10584.43</v>
      </c>
      <c r="E13" t="s">
        <v>71</v>
      </c>
      <c r="F13" t="s">
        <v>116</v>
      </c>
      <c r="G13">
        <v>1501002469</v>
      </c>
      <c r="H13" s="4" t="s">
        <v>119</v>
      </c>
      <c r="I13" t="s">
        <v>205</v>
      </c>
    </row>
    <row r="14" spans="1:15" x14ac:dyDescent="0.25">
      <c r="A14" s="11"/>
      <c r="B14" s="13"/>
      <c r="C14" s="25"/>
      <c r="D14" s="11"/>
      <c r="E14" s="6"/>
      <c r="F14" s="11"/>
      <c r="G14" s="11"/>
      <c r="H14" s="11"/>
      <c r="I14" s="11" t="s">
        <v>206</v>
      </c>
      <c r="J14">
        <v>20000</v>
      </c>
      <c r="K14" s="7">
        <v>46063</v>
      </c>
    </row>
    <row r="15" spans="1:15" x14ac:dyDescent="0.25">
      <c r="A15" s="11"/>
      <c r="B15" s="13"/>
      <c r="C15" s="25"/>
      <c r="D15" s="11"/>
      <c r="E15" s="6"/>
      <c r="F15" s="11"/>
      <c r="G15" s="11"/>
      <c r="H15" s="11"/>
      <c r="I15" s="11" t="s">
        <v>207</v>
      </c>
      <c r="J15">
        <v>20000</v>
      </c>
      <c r="K15" s="7">
        <v>46063</v>
      </c>
    </row>
    <row r="16" spans="1:15" x14ac:dyDescent="0.25">
      <c r="A16" s="11"/>
      <c r="B16" s="13"/>
      <c r="C16" s="25"/>
      <c r="D16" s="11"/>
      <c r="E16" s="6"/>
      <c r="F16" s="11"/>
      <c r="G16" s="11"/>
      <c r="H16" s="11"/>
      <c r="I16" s="11"/>
    </row>
    <row r="17" spans="1:22" ht="16.5" thickBot="1" x14ac:dyDescent="0.3">
      <c r="A17" s="11"/>
      <c r="B17" s="14" t="s">
        <v>127</v>
      </c>
      <c r="C17" s="15">
        <v>2500</v>
      </c>
      <c r="D17" s="20"/>
      <c r="E17" s="21"/>
      <c r="F17" s="11"/>
      <c r="G17" s="11"/>
      <c r="H17" s="11"/>
      <c r="I17" s="11"/>
      <c r="O17" t="s">
        <v>137</v>
      </c>
    </row>
    <row r="18" spans="1:22" x14ac:dyDescent="0.25">
      <c r="A18" s="11"/>
      <c r="B18" s="16" t="s">
        <v>74</v>
      </c>
      <c r="C18" s="17">
        <f>SUM(C4:C17)</f>
        <v>39539</v>
      </c>
      <c r="D18" s="22">
        <f>SUM(D4:D17)</f>
        <v>262952.02999999997</v>
      </c>
      <c r="E18" s="2" t="s">
        <v>74</v>
      </c>
      <c r="F18" s="11"/>
      <c r="G18" s="11"/>
      <c r="H18" s="11"/>
      <c r="I18" s="11"/>
    </row>
    <row r="19" spans="1:22" x14ac:dyDescent="0.25">
      <c r="A19" s="11"/>
      <c r="B19" s="11"/>
      <c r="C19" s="11">
        <v>461578.39</v>
      </c>
      <c r="D19" s="3" t="s">
        <v>200</v>
      </c>
      <c r="E19" s="11"/>
      <c r="F19" s="11"/>
      <c r="G19" s="11"/>
      <c r="H19" s="11"/>
      <c r="I19" s="11"/>
    </row>
    <row r="20" spans="1:22" x14ac:dyDescent="0.25">
      <c r="A20" s="11"/>
      <c r="B20" s="11"/>
      <c r="C20" s="11">
        <f>200000-198626.36</f>
        <v>1373.640000000014</v>
      </c>
      <c r="D20" s="3" t="s">
        <v>199</v>
      </c>
      <c r="E20" s="11"/>
      <c r="F20" s="11"/>
      <c r="G20" s="11"/>
      <c r="H20" s="11"/>
      <c r="I20" s="11"/>
    </row>
    <row r="21" spans="1:22" x14ac:dyDescent="0.25">
      <c r="A21" s="11">
        <f>-Sale_price</f>
        <v>-425000</v>
      </c>
      <c r="B21" s="11" t="s">
        <v>75</v>
      </c>
      <c r="C21" s="11"/>
      <c r="D21" s="11">
        <f>32787.64-D6</f>
        <v>1000</v>
      </c>
      <c r="E21" t="s">
        <v>70</v>
      </c>
      <c r="F21" t="s">
        <v>118</v>
      </c>
      <c r="G21">
        <v>3901011716</v>
      </c>
      <c r="H21" s="4" t="s">
        <v>119</v>
      </c>
      <c r="I21" s="11"/>
      <c r="V21">
        <f>T21+B$4+U21</f>
        <v>425000</v>
      </c>
    </row>
    <row r="22" spans="1:22" ht="15.75" customHeight="1" x14ac:dyDescent="0.25">
      <c r="A22" s="11">
        <f>-(C19+A21+C20)</f>
        <v>-37952.030000000028</v>
      </c>
      <c r="B22" s="11" t="s">
        <v>78</v>
      </c>
      <c r="C22" s="11"/>
      <c r="D22" s="11"/>
      <c r="F22" s="11"/>
      <c r="G22" s="11"/>
      <c r="H22" s="11"/>
      <c r="I22" s="11"/>
      <c r="V22">
        <f t="shared" ref="V22:V24" si="0">T22+B$4+U22</f>
        <v>425000</v>
      </c>
    </row>
    <row r="23" spans="1:22" ht="16.5" customHeight="1" thickBot="1" x14ac:dyDescent="0.3">
      <c r="A23" s="20">
        <f>D18</f>
        <v>262952.02999999997</v>
      </c>
      <c r="B23" s="20" t="s">
        <v>76</v>
      </c>
      <c r="C23" s="11">
        <f>-(A23-D12)</f>
        <v>-219952.02999999997</v>
      </c>
      <c r="D23" s="11" t="s">
        <v>201</v>
      </c>
      <c r="E23" s="2"/>
      <c r="G23" s="11"/>
      <c r="H23" s="11"/>
      <c r="I23" s="11"/>
      <c r="V23">
        <f t="shared" si="0"/>
        <v>425000</v>
      </c>
    </row>
    <row r="24" spans="1:22" x14ac:dyDescent="0.25">
      <c r="A24" s="22">
        <f>SUM(A21:A23)</f>
        <v>-200000.00000000006</v>
      </c>
      <c r="B24" s="22" t="s">
        <v>77</v>
      </c>
      <c r="C24" s="11">
        <f>A21+A22+C23</f>
        <v>-682904.06</v>
      </c>
      <c r="D24" s="11">
        <f>C24/2</f>
        <v>-341452.03</v>
      </c>
      <c r="E24" s="11" t="s">
        <v>133</v>
      </c>
      <c r="F24">
        <v>100000</v>
      </c>
      <c r="G24" s="11">
        <v>485</v>
      </c>
      <c r="H24" s="6">
        <f>(G24/31)*365/F24</f>
        <v>5.7104838709677412E-2</v>
      </c>
      <c r="I24" s="11"/>
      <c r="V24">
        <f t="shared" si="0"/>
        <v>425000</v>
      </c>
    </row>
    <row r="25" spans="1:22" ht="16.5" thickBot="1" x14ac:dyDescent="0.3">
      <c r="A25" s="23">
        <f>-A24/1000000</f>
        <v>0.20000000000000007</v>
      </c>
      <c r="B25" s="11" t="s">
        <v>134</v>
      </c>
      <c r="C25" s="11"/>
      <c r="D25" s="11"/>
      <c r="E25" s="11" t="s">
        <v>135</v>
      </c>
      <c r="F25">
        <v>120000</v>
      </c>
      <c r="G25" s="11">
        <v>531</v>
      </c>
      <c r="H25" s="6">
        <f>(G25/31)*365/F25</f>
        <v>5.2100806451612899E-2</v>
      </c>
      <c r="I25" s="11"/>
    </row>
    <row r="26" spans="1:22" x14ac:dyDescent="0.25">
      <c r="A26" s="6"/>
      <c r="B26" s="11" t="s">
        <v>141</v>
      </c>
      <c r="C26" s="6">
        <f>3%</f>
        <v>0.03</v>
      </c>
      <c r="D26" s="11"/>
      <c r="E26" s="11"/>
      <c r="F26" s="11"/>
      <c r="G26" s="11">
        <f>SUM(G24:G25)</f>
        <v>1016</v>
      </c>
      <c r="H26" s="11"/>
      <c r="I26" s="11"/>
    </row>
    <row r="27" spans="1:22" x14ac:dyDescent="0.25">
      <c r="A27" s="6"/>
      <c r="B27" s="11" t="s">
        <v>147</v>
      </c>
      <c r="C27" s="11">
        <v>0</v>
      </c>
      <c r="D27" s="11">
        <f>C27</f>
        <v>0</v>
      </c>
      <c r="E27" s="11"/>
      <c r="F27">
        <v>100000</v>
      </c>
      <c r="G27" s="11">
        <f>F27*offset*31/365</f>
        <v>485</v>
      </c>
      <c r="H27" s="6">
        <f>(G27/31)*365/F27</f>
        <v>5.7104838709677412E-2</v>
      </c>
      <c r="I27" s="11"/>
      <c r="V27" s="11">
        <f>T27+B$4+U27</f>
        <v>425000</v>
      </c>
    </row>
    <row r="28" spans="1:22" x14ac:dyDescent="0.25">
      <c r="A28" s="11">
        <f>A23*(avg_int/12)</f>
        <v>657.38007499999992</v>
      </c>
      <c r="B28" s="11" t="s">
        <v>142</v>
      </c>
      <c r="C28" s="11">
        <f>C23*(avg_int/12)</f>
        <v>-549.88007499999992</v>
      </c>
      <c r="D28" s="11" t="e">
        <f>D23*(avg_int/12)</f>
        <v>#VALUE!</v>
      </c>
      <c r="E28" s="11"/>
      <c r="F28">
        <v>100000</v>
      </c>
      <c r="G28" s="11">
        <f>F28*normal*31/365</f>
        <v>442.49999999999994</v>
      </c>
      <c r="H28" s="6">
        <f>(G28/31)*365/F28</f>
        <v>5.2100806451612899E-2</v>
      </c>
      <c r="I28" s="11"/>
      <c r="V28" s="11">
        <f t="shared" ref="V28:V30" si="1">T28+B$4+U28</f>
        <v>425000</v>
      </c>
    </row>
    <row r="29" spans="1:22" x14ac:dyDescent="0.25">
      <c r="A29" s="11">
        <f>A$28*12</f>
        <v>7888.5608999999986</v>
      </c>
      <c r="B29" s="11" t="s">
        <v>144</v>
      </c>
      <c r="C29" s="11">
        <f>C$28*12</f>
        <v>-6598.5608999999986</v>
      </c>
      <c r="D29" s="11" t="e">
        <f>D$28*12</f>
        <v>#VALUE!</v>
      </c>
      <c r="E29" s="11"/>
      <c r="F29" s="11"/>
      <c r="G29" s="11">
        <f>SUM(G27:G28)</f>
        <v>927.5</v>
      </c>
      <c r="H29" s="11"/>
      <c r="I29" s="11"/>
      <c r="V29" s="11">
        <f t="shared" si="1"/>
        <v>425000</v>
      </c>
    </row>
    <row r="30" spans="1:22" x14ac:dyDescent="0.25">
      <c r="A30" s="11">
        <f t="shared" ref="A30:D30" si="2">A$28*12</f>
        <v>7888.5608999999986</v>
      </c>
      <c r="B30" s="11" t="s">
        <v>145</v>
      </c>
      <c r="C30" s="11">
        <f t="shared" si="2"/>
        <v>-6598.5608999999986</v>
      </c>
      <c r="D30" s="11" t="e">
        <f t="shared" si="2"/>
        <v>#VALUE!</v>
      </c>
      <c r="E30" s="11"/>
      <c r="F30">
        <v>50000</v>
      </c>
      <c r="G30" s="11">
        <f>F30*offset*31/365</f>
        <v>242.5</v>
      </c>
      <c r="H30" s="6">
        <f>(G30/31)*365/F30</f>
        <v>5.7104838709677412E-2</v>
      </c>
      <c r="I30" s="11"/>
      <c r="V30" s="11">
        <f t="shared" si="1"/>
        <v>425000</v>
      </c>
    </row>
    <row r="31" spans="1:22" x14ac:dyDescent="0.25">
      <c r="A31" s="11">
        <f>(A23-C27)*(avg_int/12)*12</f>
        <v>7888.5608999999986</v>
      </c>
      <c r="B31" s="11" t="s">
        <v>146</v>
      </c>
      <c r="C31" s="11">
        <f>(C23-C27)*(avg_int/12)*12</f>
        <v>-6598.5608999999986</v>
      </c>
      <c r="D31" s="11" t="e">
        <f>(D23-D27)*(avg_int/12)*12</f>
        <v>#VALUE!</v>
      </c>
      <c r="E31" s="11"/>
      <c r="F31">
        <v>150000</v>
      </c>
      <c r="G31" s="11">
        <f>F31*normal*31/365</f>
        <v>663.74999999999989</v>
      </c>
      <c r="H31" s="6">
        <f>(G31/31)*365/F31</f>
        <v>5.2100806451612892E-2</v>
      </c>
      <c r="I31" s="11"/>
    </row>
    <row r="32" spans="1:22" x14ac:dyDescent="0.25">
      <c r="A32" s="6"/>
      <c r="B32" s="11"/>
      <c r="C32" s="11"/>
      <c r="D32" s="11"/>
      <c r="E32" s="11"/>
      <c r="F32" s="11"/>
      <c r="G32" s="11">
        <f>SUM(G30:G31)</f>
        <v>906.24999999999989</v>
      </c>
      <c r="H32" s="11"/>
      <c r="I32" s="11"/>
    </row>
    <row r="33" spans="1:14" x14ac:dyDescent="0.25">
      <c r="A33" s="6"/>
      <c r="B33" s="11"/>
      <c r="C33" s="11"/>
      <c r="D33" s="11"/>
      <c r="E33" s="11"/>
      <c r="F33" s="11"/>
      <c r="G33" s="11"/>
      <c r="H33" s="11"/>
      <c r="I33" s="11"/>
    </row>
    <row r="34" spans="1:14" x14ac:dyDescent="0.25">
      <c r="A34" s="6"/>
      <c r="B34" s="11"/>
      <c r="C34" s="11"/>
      <c r="D34" s="11"/>
      <c r="E34" s="22" t="s">
        <v>138</v>
      </c>
      <c r="F34" s="11"/>
      <c r="G34" s="11"/>
      <c r="H34" s="11"/>
      <c r="I34" s="11"/>
      <c r="J34" t="s">
        <v>148</v>
      </c>
      <c r="L34" t="s">
        <v>149</v>
      </c>
    </row>
    <row r="35" spans="1:14" x14ac:dyDescent="0.25">
      <c r="A35" s="6"/>
      <c r="B35" s="11"/>
      <c r="C35" s="11"/>
      <c r="D35" s="11"/>
      <c r="E35" s="11" t="s">
        <v>137</v>
      </c>
      <c r="F35" s="11">
        <v>205000</v>
      </c>
      <c r="G35" s="11">
        <f>F35*vanilla*31/365</f>
        <v>757.3767123287671</v>
      </c>
      <c r="H35" s="6">
        <f>vanilla</f>
        <v>4.3499999999999997E-2</v>
      </c>
      <c r="I35" s="11"/>
      <c r="J35" s="11">
        <f>-(12*$G$35)-$A29</f>
        <v>-16977.081447945202</v>
      </c>
      <c r="K35" s="11"/>
      <c r="L35" s="11">
        <f>J35-(12*$G$35)-$A30</f>
        <v>-33954.162895890404</v>
      </c>
      <c r="M35" s="11">
        <f>L35-$F$35</f>
        <v>-238954.16289589042</v>
      </c>
    </row>
    <row r="36" spans="1:14" x14ac:dyDescent="0.25">
      <c r="A36" s="6"/>
      <c r="B36" s="11"/>
      <c r="C36" s="11"/>
      <c r="D36" s="11"/>
      <c r="E36" s="11" t="s">
        <v>150</v>
      </c>
      <c r="F36" s="11"/>
      <c r="G36" s="11"/>
      <c r="H36" s="11"/>
      <c r="I36" s="11"/>
      <c r="J36" s="11">
        <f>-(12*$G$35)-$A30</f>
        <v>-16977.081447945202</v>
      </c>
      <c r="K36" s="11"/>
      <c r="L36" s="11">
        <f>J36-(12*$G$35)-$A31</f>
        <v>-33954.162895890404</v>
      </c>
      <c r="M36" s="11">
        <f>L36-$F$35</f>
        <v>-238954.16289589042</v>
      </c>
      <c r="N36" s="11"/>
    </row>
    <row r="37" spans="1:14" x14ac:dyDescent="0.25">
      <c r="A37" s="6"/>
      <c r="B37" s="11"/>
      <c r="C37" s="11"/>
      <c r="D37" s="11"/>
      <c r="E37" s="11" t="s">
        <v>137</v>
      </c>
      <c r="F37" s="11">
        <v>180000</v>
      </c>
      <c r="G37" s="11">
        <f>F37*vanilla*31/365</f>
        <v>665.0136986301369</v>
      </c>
      <c r="H37" s="6">
        <f>vanilla</f>
        <v>4.3499999999999997E-2</v>
      </c>
      <c r="I37" s="11"/>
      <c r="J37" s="11">
        <f>-(12*$G$37)-$C29</f>
        <v>-1381.6034835616447</v>
      </c>
      <c r="K37" s="11"/>
      <c r="L37" s="11">
        <f>J37-(12*$G$37)-$A30</f>
        <v>-17250.328767123287</v>
      </c>
      <c r="M37" s="11">
        <f>L37-$F$37</f>
        <v>-197250.32876712328</v>
      </c>
      <c r="N37" s="11"/>
    </row>
    <row r="38" spans="1:14" x14ac:dyDescent="0.25">
      <c r="A38" s="6"/>
      <c r="B38" s="11"/>
      <c r="C38" s="11"/>
      <c r="D38" s="11"/>
      <c r="E38" s="11" t="s">
        <v>150</v>
      </c>
      <c r="F38" s="11"/>
      <c r="G38" s="11"/>
      <c r="H38" s="11"/>
      <c r="I38" s="11"/>
      <c r="J38" s="11">
        <f>-(12*$G$37)-$C30</f>
        <v>-1381.6034835616447</v>
      </c>
      <c r="K38" s="11"/>
      <c r="L38" s="11">
        <f>J38-(12*$G$37)-$A31</f>
        <v>-17250.328767123287</v>
      </c>
      <c r="M38" s="11">
        <f>L38-$F$37</f>
        <v>-197250.32876712328</v>
      </c>
      <c r="N38" s="11"/>
    </row>
    <row r="39" spans="1:14" x14ac:dyDescent="0.25">
      <c r="A39" s="6"/>
      <c r="B39" s="11"/>
      <c r="C39" s="11"/>
      <c r="D39" s="11"/>
      <c r="E39" s="11" t="s">
        <v>137</v>
      </c>
      <c r="F39" s="11">
        <v>100000</v>
      </c>
      <c r="G39" s="11">
        <f>F39*vanilla*31/365</f>
        <v>369.45205479452056</v>
      </c>
      <c r="H39" s="6">
        <f>vanilla</f>
        <v>4.3499999999999997E-2</v>
      </c>
      <c r="I39" s="11"/>
      <c r="J39" s="11" t="e">
        <f>-(12*$G$39)-$D29</f>
        <v>#VALUE!</v>
      </c>
      <c r="K39" s="11"/>
      <c r="L39" s="11" t="e">
        <f>J39-(12*$G$39)-$D30</f>
        <v>#VALUE!</v>
      </c>
      <c r="M39" s="11" t="e">
        <f>L39-$F$39</f>
        <v>#VALUE!</v>
      </c>
      <c r="N39" s="11"/>
    </row>
    <row r="40" spans="1:14" x14ac:dyDescent="0.25">
      <c r="A40" s="6"/>
      <c r="B40" s="11"/>
      <c r="C40" s="11"/>
      <c r="D40" s="11"/>
      <c r="E40" s="11" t="s">
        <v>150</v>
      </c>
      <c r="F40" s="11"/>
      <c r="G40" s="11"/>
      <c r="H40" s="11"/>
      <c r="I40" s="11"/>
      <c r="J40" s="11">
        <f>-(12*$G$37)-$C32</f>
        <v>-7980.1643835616433</v>
      </c>
      <c r="K40" s="11"/>
      <c r="L40" s="11">
        <f>J40-(12*$G$37)-$A33</f>
        <v>-15960.328767123287</v>
      </c>
      <c r="M40" s="11">
        <f>L40-$F$37</f>
        <v>-195960.32876712328</v>
      </c>
      <c r="N40" s="11"/>
    </row>
    <row r="41" spans="1:14" x14ac:dyDescent="0.25">
      <c r="A41" s="6"/>
      <c r="B41" s="11"/>
      <c r="C41" s="11"/>
      <c r="D41" s="11"/>
      <c r="E41" s="11" t="s">
        <v>143</v>
      </c>
      <c r="F41" s="11">
        <v>220000</v>
      </c>
      <c r="G41" s="11">
        <f>F41*H41*31/365</f>
        <v>906.21917808219166</v>
      </c>
      <c r="H41" s="6" cm="1">
        <f t="array" ref="H41">vanilla+off_incr</f>
        <v>4.8499999999999995E-2</v>
      </c>
      <c r="I41" s="11"/>
      <c r="J41" s="11">
        <f>-A$29-G41*12</f>
        <v>-18763.191036986296</v>
      </c>
      <c r="K41" s="11"/>
      <c r="L41" s="11">
        <f>J41-((12*G41)+A$30)</f>
        <v>-37526.382073972592</v>
      </c>
      <c r="M41" s="11">
        <f>L41-F41</f>
        <v>-257526.38207397261</v>
      </c>
      <c r="N41" s="11"/>
    </row>
    <row r="42" spans="1:14" x14ac:dyDescent="0.25">
      <c r="A42" s="6"/>
      <c r="B42" s="11"/>
      <c r="C42" s="11"/>
      <c r="D42" s="11"/>
      <c r="E42" s="11" t="s">
        <v>151</v>
      </c>
      <c r="F42" s="11">
        <f>avg_int*F41/2</f>
        <v>3300</v>
      </c>
      <c r="G42" s="11">
        <f>G41/2</f>
        <v>453.10958904109583</v>
      </c>
      <c r="H42" s="11"/>
      <c r="I42" s="11"/>
      <c r="J42" s="11">
        <f>-A$29-F42-G42*12</f>
        <v>-16625.87596849315</v>
      </c>
      <c r="K42" s="11"/>
      <c r="L42" s="11">
        <f>J42-F42-((12*G42)+A$30)</f>
        <v>-33251.7519369863</v>
      </c>
      <c r="M42" s="11">
        <f>L42-F41/2</f>
        <v>-143251.75193698629</v>
      </c>
      <c r="N42" s="11"/>
    </row>
    <row r="43" spans="1:14" x14ac:dyDescent="0.25">
      <c r="A43" s="6"/>
      <c r="B43" s="11"/>
      <c r="C43" s="11"/>
      <c r="D43" s="11"/>
      <c r="E43" s="11" t="s">
        <v>143</v>
      </c>
      <c r="F43" s="11">
        <v>200000</v>
      </c>
      <c r="G43" s="11">
        <f>F43*H43*31/365</f>
        <v>823.83561643835606</v>
      </c>
      <c r="H43" s="6" cm="1">
        <f t="array" ref="H43">vanilla+off_incr</f>
        <v>4.8499999999999995E-2</v>
      </c>
      <c r="I43" s="11"/>
      <c r="J43" s="11"/>
      <c r="K43" s="11"/>
      <c r="L43" s="11"/>
      <c r="M43" s="11"/>
      <c r="N43" s="11"/>
    </row>
    <row r="44" spans="1:14" x14ac:dyDescent="0.25">
      <c r="A44" s="6"/>
      <c r="B44" s="11"/>
      <c r="C44" s="11"/>
      <c r="D44" s="11"/>
      <c r="E44" s="11" t="s">
        <v>151</v>
      </c>
      <c r="F44" s="11"/>
      <c r="G44" s="11">
        <f>G43/2</f>
        <v>411.91780821917803</v>
      </c>
      <c r="H44" s="11"/>
      <c r="I44" s="11"/>
      <c r="J44" s="11"/>
      <c r="K44" s="11"/>
      <c r="L44" s="11"/>
      <c r="M44" s="11"/>
      <c r="N44" s="11"/>
    </row>
    <row r="45" spans="1:14" x14ac:dyDescent="0.25">
      <c r="A45" s="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25">
      <c r="A46" s="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6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6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6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25">
      <c r="A50" s="22" t="s">
        <v>60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11">
        <f>A$24*B51/12</f>
        <v>-791.66666666666697</v>
      </c>
      <c r="B51" s="6">
        <v>4.7500000000000001E-2</v>
      </c>
      <c r="C51" s="11" t="s">
        <v>79</v>
      </c>
      <c r="D51" s="11"/>
      <c r="E51" s="11"/>
      <c r="F51" s="11"/>
      <c r="G51" s="11"/>
      <c r="H51" s="11"/>
      <c r="I51" s="11"/>
      <c r="J51" s="24"/>
      <c r="K51" s="24"/>
      <c r="L51" s="11"/>
      <c r="M51" s="11"/>
      <c r="N51" s="11"/>
    </row>
    <row r="52" spans="1:14" x14ac:dyDescent="0.25">
      <c r="A52" s="11">
        <f>-B52/12</f>
        <v>-12.5</v>
      </c>
      <c r="B52" s="11">
        <v>150</v>
      </c>
      <c r="C52" s="11" t="s">
        <v>92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11">
        <f>-B53*A54</f>
        <v>-110</v>
      </c>
      <c r="B53" s="11">
        <v>0.1</v>
      </c>
      <c r="C53" s="11" t="s">
        <v>91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f>B54</f>
        <v>1100</v>
      </c>
      <c r="B54" s="11">
        <v>1100</v>
      </c>
      <c r="C54" s="11" t="s">
        <v>117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f>-B55/12</f>
        <v>-416.66666666666669</v>
      </c>
      <c r="B55" s="11">
        <v>5000</v>
      </c>
      <c r="C55" s="11" t="s">
        <v>115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6.5" thickBot="1" x14ac:dyDescent="0.3">
      <c r="A56" s="20">
        <f>SUM(A52:A54)*-B56</f>
        <v>-195.5</v>
      </c>
      <c r="B56" s="23">
        <v>0.2</v>
      </c>
      <c r="C56" s="20" t="s">
        <v>80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>
        <f>SUM(A51:A56)</f>
        <v>-426.33333333333366</v>
      </c>
      <c r="B57" s="22" t="s">
        <v>96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22" t="s">
        <v>81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26755.966666666664</v>
      </c>
      <c r="B60" s="11" t="s">
        <v>83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>
        <v>30867.266666666666</v>
      </c>
      <c r="B61" s="11" t="s">
        <v>84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/>
      <c r="B62" s="11"/>
      <c r="C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22" t="s">
        <v>85</v>
      </c>
      <c r="B63" s="11"/>
      <c r="C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25">
      <c r="A64" s="11">
        <f>2*Sheet1!B46</f>
        <v>62127.54</v>
      </c>
      <c r="B64" s="11" t="s">
        <v>86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11">
        <f>2*(Sheet1!B47-E65)</f>
        <v>19920</v>
      </c>
      <c r="C65" s="11" t="s">
        <v>90</v>
      </c>
      <c r="D65" s="11"/>
      <c r="E65" s="11">
        <v>1000</v>
      </c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11">
        <v>1170</v>
      </c>
      <c r="B66" s="11" t="s">
        <v>87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v>267304</v>
      </c>
      <c r="B68" s="11" t="s">
        <v>93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25">
      <c r="A69" s="11">
        <f>A24+A68</f>
        <v>67303.999999999942</v>
      </c>
      <c r="B69" s="11" t="s">
        <v>94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6.5" thickBot="1" x14ac:dyDescent="0.3">
      <c r="A70" s="20">
        <f>2*B70</f>
        <v>0</v>
      </c>
      <c r="B70" s="20">
        <v>0</v>
      </c>
      <c r="C70" s="11" t="s">
        <v>95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>
        <f>A69+A70</f>
        <v>67303.999999999942</v>
      </c>
      <c r="B71" s="22" t="s">
        <v>97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22"/>
      <c r="B72" s="2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>
        <f>-A68</f>
        <v>-267304</v>
      </c>
      <c r="B73" s="11" t="s">
        <v>98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11">
        <f>SUM(A60:A61)</f>
        <v>57623.23333333333</v>
      </c>
      <c r="B74" s="11" t="s">
        <v>99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6.5" thickBot="1" x14ac:dyDescent="0.3">
      <c r="A75" s="20" t="e">
        <f>#REF!</f>
        <v>#REF!</v>
      </c>
      <c r="B75" s="20" t="s">
        <v>82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22" t="e">
        <f>SUM(A73:A75)</f>
        <v>#REF!</v>
      </c>
      <c r="B76" s="22" t="s">
        <v>100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22"/>
      <c r="B77" s="22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 t="s">
        <v>112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25">
      <c r="A80" s="22" t="s">
        <v>101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11">
        <f>-B81/12</f>
        <v>-12.5</v>
      </c>
      <c r="B81" s="11">
        <v>150</v>
      </c>
      <c r="C81" s="11" t="s">
        <v>92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v>-100</v>
      </c>
      <c r="B82" s="11"/>
      <c r="C82" s="11" t="s">
        <v>111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-B83*A84</f>
        <v>-125</v>
      </c>
      <c r="B83" s="6">
        <v>0.1</v>
      </c>
      <c r="C83" s="11" t="s">
        <v>91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B84</f>
        <v>1250</v>
      </c>
      <c r="B84" s="11">
        <v>1250</v>
      </c>
      <c r="C84" s="11" t="s">
        <v>61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x14ac:dyDescent="0.25">
      <c r="A85" s="11" t="e">
        <f>A76*B85/12</f>
        <v>#REF!</v>
      </c>
      <c r="B85" s="6">
        <v>0.02</v>
      </c>
      <c r="C85" s="11" t="s">
        <v>102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6.5" thickBot="1" x14ac:dyDescent="0.3">
      <c r="A86" s="20">
        <f>SUM(A81:A84)*-B86</f>
        <v>-202.5</v>
      </c>
      <c r="B86" s="23">
        <v>0.2</v>
      </c>
      <c r="C86" s="20" t="s">
        <v>80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x14ac:dyDescent="0.25">
      <c r="A87" s="22" t="e">
        <f>SUM(A77:A86)</f>
        <v>#REF!</v>
      </c>
      <c r="B87" s="22" t="s">
        <v>103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x14ac:dyDescent="0.25">
      <c r="A88" s="11">
        <f>SUM(Sheet1!C31:C32)/12</f>
        <v>1545.6584</v>
      </c>
      <c r="B88" s="11" t="s">
        <v>104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x14ac:dyDescent="0.25">
      <c r="A89" s="11">
        <f>SUM(Sheet1!B31:B32)/12*(1-B86)</f>
        <v>4526.82672</v>
      </c>
      <c r="B89" s="11" t="s">
        <v>105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x14ac:dyDescent="0.25">
      <c r="A90" s="11">
        <f>((2*(E65+24*250))+(A64-A70))*B90/12</f>
        <v>95.159424999999999</v>
      </c>
      <c r="B90" s="6">
        <v>1.4999999999999999E-2</v>
      </c>
      <c r="C90" s="11" t="s">
        <v>109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6.5" thickBot="1" x14ac:dyDescent="0.3">
      <c r="A91" s="20">
        <f>(1-B86)*B91/12</f>
        <v>93.333333333333329</v>
      </c>
      <c r="B91" s="20">
        <v>1400</v>
      </c>
      <c r="C91" s="20" t="s">
        <v>110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1:14" x14ac:dyDescent="0.25">
      <c r="A92" s="22" t="e">
        <f>SUM(A87:A91)</f>
        <v>#REF!</v>
      </c>
      <c r="B92" s="22" t="s">
        <v>106</v>
      </c>
      <c r="C92" s="11"/>
      <c r="D92" s="11"/>
      <c r="E92" s="11"/>
      <c r="F92" s="11"/>
      <c r="G92" s="11"/>
      <c r="H92" s="11"/>
      <c r="J92" s="11"/>
      <c r="K92" s="11"/>
      <c r="L92" s="11"/>
      <c r="M92" s="11"/>
      <c r="N92" s="11"/>
    </row>
    <row r="93" spans="1:14" x14ac:dyDescent="0.25">
      <c r="D93" s="11"/>
      <c r="E93" s="11"/>
    </row>
    <row r="94" spans="1:14" x14ac:dyDescent="0.25">
      <c r="A94">
        <f>(1789.7+2545.04+2336.51+1440.99)</f>
        <v>8112.24</v>
      </c>
      <c r="B94" t="s">
        <v>107</v>
      </c>
      <c r="D94" s="11"/>
      <c r="E94" s="11"/>
    </row>
    <row r="95" spans="1:14" x14ac:dyDescent="0.25">
      <c r="A95" s="11" t="e">
        <f>A92-A94</f>
        <v>#REF!</v>
      </c>
      <c r="B95" t="s">
        <v>108</v>
      </c>
    </row>
    <row r="99" spans="1:5" x14ac:dyDescent="0.25">
      <c r="A99" t="s">
        <v>71</v>
      </c>
      <c r="B99" t="s">
        <v>118</v>
      </c>
      <c r="C99">
        <v>3901011738</v>
      </c>
      <c r="D99" s="4" t="s">
        <v>119</v>
      </c>
      <c r="E99" s="27">
        <v>65028.95</v>
      </c>
    </row>
    <row r="100" spans="1:5" x14ac:dyDescent="0.25">
      <c r="A100" t="s">
        <v>70</v>
      </c>
      <c r="B100" t="s">
        <v>118</v>
      </c>
      <c r="C100">
        <v>3901011716</v>
      </c>
      <c r="D100" s="4" t="s">
        <v>119</v>
      </c>
      <c r="E100" s="27">
        <v>32787.64</v>
      </c>
    </row>
    <row r="101" spans="1:5" x14ac:dyDescent="0.25">
      <c r="A101" t="s">
        <v>120</v>
      </c>
      <c r="B101" t="s">
        <v>118</v>
      </c>
      <c r="C101" s="28">
        <v>923763564</v>
      </c>
      <c r="D101" t="s">
        <v>121</v>
      </c>
      <c r="E101" s="29">
        <v>22030.11</v>
      </c>
    </row>
    <row r="102" spans="1:5" x14ac:dyDescent="0.25">
      <c r="A102" t="s">
        <v>122</v>
      </c>
      <c r="B102" t="s">
        <v>118</v>
      </c>
      <c r="C102" s="30">
        <v>20689470</v>
      </c>
      <c r="D102" s="4" t="s">
        <v>123</v>
      </c>
      <c r="E102" s="29">
        <v>25709.38</v>
      </c>
    </row>
    <row r="103" spans="1:5" x14ac:dyDescent="0.25">
      <c r="A103" t="s">
        <v>124</v>
      </c>
      <c r="B103" t="s">
        <v>118</v>
      </c>
      <c r="C103" s="30">
        <v>20689489</v>
      </c>
      <c r="D103" s="4" t="s">
        <v>123</v>
      </c>
      <c r="E103" s="29">
        <v>37550.870000000003</v>
      </c>
    </row>
    <row r="104" spans="1:5" x14ac:dyDescent="0.25">
      <c r="A104" t="s">
        <v>124</v>
      </c>
      <c r="B104" t="s">
        <v>116</v>
      </c>
      <c r="C104" s="28">
        <v>22246088</v>
      </c>
      <c r="D104" s="4" t="s">
        <v>123</v>
      </c>
      <c r="E104" s="29">
        <v>327.95</v>
      </c>
    </row>
    <row r="106" spans="1:5" ht="15.75" customHeight="1" x14ac:dyDescent="0.25">
      <c r="A106" s="53" t="s">
        <v>154</v>
      </c>
      <c r="B106" s="53"/>
      <c r="C106" s="53"/>
      <c r="D106" s="53"/>
      <c r="E106" s="53"/>
    </row>
    <row r="107" spans="1:5" x14ac:dyDescent="0.25">
      <c r="A107" s="53"/>
      <c r="B107" s="53"/>
      <c r="C107" s="53"/>
      <c r="D107" s="53"/>
      <c r="E107" s="53"/>
    </row>
    <row r="108" spans="1:5" x14ac:dyDescent="0.25">
      <c r="A108" s="53"/>
      <c r="B108" s="53"/>
      <c r="C108" s="53"/>
      <c r="D108" s="53"/>
      <c r="E108" s="53"/>
    </row>
    <row r="109" spans="1:5" x14ac:dyDescent="0.25">
      <c r="A109" s="53"/>
      <c r="B109" s="53"/>
      <c r="C109" s="53"/>
      <c r="D109" s="53"/>
      <c r="E109" s="53"/>
    </row>
    <row r="110" spans="1:5" x14ac:dyDescent="0.25">
      <c r="A110" s="53"/>
      <c r="B110" s="53"/>
      <c r="C110" s="53"/>
      <c r="D110" s="53"/>
      <c r="E110" s="53"/>
    </row>
    <row r="111" spans="1:5" x14ac:dyDescent="0.25">
      <c r="A111" s="53"/>
      <c r="B111" s="53"/>
      <c r="C111" s="53"/>
      <c r="D111" s="53"/>
      <c r="E111" s="53"/>
    </row>
    <row r="112" spans="1:5" x14ac:dyDescent="0.25">
      <c r="A112" s="53"/>
      <c r="B112" s="53"/>
      <c r="C112" s="53"/>
      <c r="D112" s="53"/>
      <c r="E112" s="53"/>
    </row>
    <row r="113" spans="1:22" x14ac:dyDescent="0.25">
      <c r="A113" s="26"/>
      <c r="B113" s="26"/>
      <c r="C113" s="26"/>
      <c r="D113" s="26"/>
      <c r="E113" s="26"/>
    </row>
    <row r="114" spans="1:22" x14ac:dyDescent="0.25">
      <c r="D114" s="26"/>
      <c r="E114" s="26" t="s">
        <v>159</v>
      </c>
      <c r="F114" t="s">
        <v>171</v>
      </c>
    </row>
    <row r="115" spans="1:22" x14ac:dyDescent="0.25">
      <c r="A115" s="26" t="s">
        <v>116</v>
      </c>
      <c r="B115" s="11">
        <v>380000</v>
      </c>
      <c r="D115" t="s">
        <v>164</v>
      </c>
      <c r="E115" s="6">
        <v>0.03</v>
      </c>
      <c r="F115" s="6">
        <v>2.2499999999999999E-2</v>
      </c>
      <c r="G115" s="6">
        <f>E115+0.5%</f>
        <v>3.4999999999999996E-2</v>
      </c>
    </row>
    <row r="116" spans="1:22" x14ac:dyDescent="0.25">
      <c r="A116" t="s">
        <v>25</v>
      </c>
      <c r="B116" s="11">
        <f>-SUM(A21:A22)</f>
        <v>462952.03</v>
      </c>
      <c r="D116" s="11" t="s">
        <v>129</v>
      </c>
      <c r="E116" s="6">
        <v>0.04</v>
      </c>
      <c r="F116" s="6">
        <v>3.5000000000000003E-2</v>
      </c>
      <c r="G116" s="6">
        <f t="shared" ref="G116" si="3">E116+0.5%</f>
        <v>4.4999999999999998E-2</v>
      </c>
    </row>
    <row r="117" spans="1:22" x14ac:dyDescent="0.25">
      <c r="A117" s="6"/>
      <c r="D117" s="11" t="s">
        <v>130</v>
      </c>
      <c r="E117" s="6">
        <v>4.36E-2</v>
      </c>
      <c r="F117" s="6">
        <v>3.8600000000000002E-2</v>
      </c>
      <c r="G117" s="6">
        <f>E3+0.5%</f>
        <v>5.0000000000000001E-3</v>
      </c>
    </row>
    <row r="118" spans="1:22" x14ac:dyDescent="0.25">
      <c r="D118" s="11" t="s">
        <v>140</v>
      </c>
      <c r="E118" s="6">
        <v>5.0000000000000001E-3</v>
      </c>
      <c r="F118" s="6">
        <v>5.0000000000000001E-3</v>
      </c>
    </row>
    <row r="119" spans="1:22" x14ac:dyDescent="0.25">
      <c r="D119" s="11" t="s">
        <v>131</v>
      </c>
      <c r="E119" s="6">
        <v>3.5000000000000001E-3</v>
      </c>
      <c r="F119" s="6">
        <v>8.5000000000000006E-3</v>
      </c>
    </row>
    <row r="120" spans="1:22" x14ac:dyDescent="0.25">
      <c r="B120" s="6"/>
      <c r="D120" s="11" t="s">
        <v>172</v>
      </c>
      <c r="E120" s="6">
        <f>E116+E119</f>
        <v>4.3500000000000004E-2</v>
      </c>
      <c r="F120" s="6">
        <f>F116+F119</f>
        <v>4.3500000000000004E-2</v>
      </c>
    </row>
    <row r="121" spans="1:22" x14ac:dyDescent="0.25">
      <c r="B121" s="6"/>
      <c r="D121" s="11" t="s">
        <v>175</v>
      </c>
    </row>
    <row r="122" spans="1:22" x14ac:dyDescent="0.25">
      <c r="B122" s="6"/>
      <c r="D122" s="11" t="s">
        <v>176</v>
      </c>
      <c r="E122" s="6">
        <f>E3+E119</f>
        <v>3.5000000000000001E-3</v>
      </c>
      <c r="F122" s="6">
        <f>F3+F119</f>
        <v>8.5000000000000006E-3</v>
      </c>
      <c r="G122" s="6"/>
      <c r="N122" s="40"/>
      <c r="O122" s="40"/>
      <c r="P122" s="40"/>
    </row>
    <row r="123" spans="1:22" ht="16.5" thickBot="1" x14ac:dyDescent="0.3">
      <c r="B123" s="6"/>
      <c r="D123" s="11" t="s">
        <v>177</v>
      </c>
      <c r="E123" s="6" t="e">
        <f>E8+E118</f>
        <v>#VALUE!</v>
      </c>
      <c r="F123" s="6" t="e">
        <f>F8+F118</f>
        <v>#VALUE!</v>
      </c>
      <c r="G123" s="6"/>
      <c r="N123" s="42"/>
      <c r="O123" s="42"/>
      <c r="P123" s="42"/>
    </row>
    <row r="124" spans="1:22" ht="16.5" thickTop="1" x14ac:dyDescent="0.25">
      <c r="B124" s="6"/>
      <c r="D124" s="11"/>
      <c r="I124" s="56" t="s">
        <v>159</v>
      </c>
      <c r="J124" s="57"/>
      <c r="K124" s="58"/>
      <c r="N124" s="56" t="s">
        <v>171</v>
      </c>
      <c r="O124" s="57"/>
      <c r="P124" s="58"/>
    </row>
    <row r="125" spans="1:22" x14ac:dyDescent="0.25">
      <c r="A125" s="2" t="s">
        <v>156</v>
      </c>
      <c r="B125" s="6"/>
      <c r="D125" t="s">
        <v>157</v>
      </c>
      <c r="E125" t="s">
        <v>158</v>
      </c>
      <c r="F125" t="s">
        <v>98</v>
      </c>
      <c r="I125" s="31" t="s">
        <v>163</v>
      </c>
      <c r="J125" t="s">
        <v>160</v>
      </c>
      <c r="K125" s="32" t="s">
        <v>161</v>
      </c>
      <c r="L125" t="s">
        <v>165</v>
      </c>
      <c r="M125" t="s">
        <v>181</v>
      </c>
      <c r="N125" s="31" t="s">
        <v>163</v>
      </c>
      <c r="O125" t="s">
        <v>160</v>
      </c>
      <c r="P125" s="32" t="s">
        <v>161</v>
      </c>
      <c r="Q125" t="s">
        <v>166</v>
      </c>
      <c r="R125" t="s">
        <v>167</v>
      </c>
      <c r="S125" t="s">
        <v>162</v>
      </c>
      <c r="T125" t="s">
        <v>168</v>
      </c>
      <c r="U125" t="s">
        <v>170</v>
      </c>
      <c r="V125" t="s">
        <v>169</v>
      </c>
    </row>
    <row r="126" spans="1:22" x14ac:dyDescent="0.25">
      <c r="A126" s="2" t="s">
        <v>173</v>
      </c>
      <c r="B126" s="6"/>
      <c r="D126" s="11">
        <f>B115</f>
        <v>380000</v>
      </c>
      <c r="E126">
        <v>0</v>
      </c>
      <c r="F126">
        <v>0</v>
      </c>
      <c r="I126" s="37">
        <f>E115</f>
        <v>0.03</v>
      </c>
      <c r="J126">
        <v>0</v>
      </c>
      <c r="K126" s="33">
        <f>D126*$E$115</f>
        <v>11400</v>
      </c>
      <c r="L126" s="11">
        <v>0</v>
      </c>
      <c r="M126">
        <v>0</v>
      </c>
      <c r="N126" s="37">
        <f>F115</f>
        <v>2.2499999999999999E-2</v>
      </c>
      <c r="O126" s="11">
        <f>(F126+L126)*N126</f>
        <v>0</v>
      </c>
      <c r="P126" s="33">
        <f>D126*F$115</f>
        <v>8550</v>
      </c>
      <c r="Q126" s="11">
        <f>J126+O126+K126+P126</f>
        <v>19950</v>
      </c>
      <c r="R126" s="11">
        <f>L126</f>
        <v>0</v>
      </c>
      <c r="S126" s="11">
        <f>R126+Q126</f>
        <v>19950</v>
      </c>
      <c r="T126" s="11">
        <f>D126+S126</f>
        <v>399950</v>
      </c>
      <c r="U126" s="11">
        <v>350000</v>
      </c>
      <c r="V126" s="11">
        <f>T126+U126</f>
        <v>749950</v>
      </c>
    </row>
    <row r="127" spans="1:22" x14ac:dyDescent="0.25">
      <c r="B127" s="6"/>
      <c r="D127" s="11">
        <f>B$115+E127</f>
        <v>215000</v>
      </c>
      <c r="E127" s="11">
        <v>-165000</v>
      </c>
      <c r="F127" s="11">
        <f>-(B$116+E127)</f>
        <v>-297952.03000000003</v>
      </c>
      <c r="G127" s="11"/>
      <c r="I127" s="37">
        <f t="shared" ref="I127:I129" si="4">E$120</f>
        <v>4.3500000000000004E-2</v>
      </c>
      <c r="J127" s="11">
        <f>I127*F127</f>
        <v>-12960.913305000002</v>
      </c>
      <c r="K127" s="33">
        <f>D127*$E$115</f>
        <v>6450</v>
      </c>
      <c r="L127" s="11">
        <v>0</v>
      </c>
      <c r="M127">
        <v>0</v>
      </c>
      <c r="N127" s="37">
        <f t="shared" ref="N127:N128" si="5">F$120</f>
        <v>4.3500000000000004E-2</v>
      </c>
      <c r="O127" s="11">
        <f>(F127+L127)*N127</f>
        <v>-12960.913305000002</v>
      </c>
      <c r="P127" s="33">
        <f t="shared" ref="P127:P130" si="6">D127*F$115</f>
        <v>4837.5</v>
      </c>
      <c r="Q127" s="11">
        <f>J127+O127+K127+P127</f>
        <v>-14634.326610000004</v>
      </c>
      <c r="R127" s="11">
        <f>F127+L127</f>
        <v>-297952.03000000003</v>
      </c>
      <c r="S127" s="11">
        <f>R127+Q127</f>
        <v>-312586.35661000002</v>
      </c>
      <c r="T127" s="11">
        <f>D127+S127</f>
        <v>-97586.356610000017</v>
      </c>
      <c r="U127" s="11">
        <v>350000</v>
      </c>
      <c r="V127" s="11">
        <f>T127+Sale_price+U127</f>
        <v>677413.64338999998</v>
      </c>
    </row>
    <row r="128" spans="1:22" x14ac:dyDescent="0.25">
      <c r="B128" s="6"/>
      <c r="D128" s="11">
        <f>B$115+E128</f>
        <v>195000</v>
      </c>
      <c r="E128" s="11">
        <v>-185000</v>
      </c>
      <c r="F128" s="11">
        <f>-(B$116+E128)</f>
        <v>-277952.03000000003</v>
      </c>
      <c r="G128" s="11"/>
      <c r="I128" s="37">
        <f t="shared" si="4"/>
        <v>4.3500000000000004E-2</v>
      </c>
      <c r="J128" s="11">
        <f>I128*F128</f>
        <v>-12090.913305000002</v>
      </c>
      <c r="K128" s="33">
        <f>D128*$E$115</f>
        <v>5850</v>
      </c>
      <c r="L128" s="11">
        <v>0</v>
      </c>
      <c r="M128">
        <v>0</v>
      </c>
      <c r="N128" s="37">
        <f t="shared" si="5"/>
        <v>4.3500000000000004E-2</v>
      </c>
      <c r="O128" s="11">
        <f t="shared" ref="O128:O130" si="7">(F128+L128)*N128</f>
        <v>-12090.913305000002</v>
      </c>
      <c r="P128" s="33">
        <f t="shared" si="6"/>
        <v>4387.5</v>
      </c>
      <c r="Q128" s="11">
        <f>J128+O128+K128+P128</f>
        <v>-13944.326610000004</v>
      </c>
      <c r="R128" s="11">
        <f t="shared" ref="R128:R130" si="8">F128+L128</f>
        <v>-277952.03000000003</v>
      </c>
      <c r="S128" s="11">
        <f>R128+Q128</f>
        <v>-291896.35661000002</v>
      </c>
      <c r="T128" s="11">
        <f>D128+S128</f>
        <v>-96896.356610000017</v>
      </c>
      <c r="U128" s="11">
        <v>350000</v>
      </c>
      <c r="V128" s="11">
        <f>T128+Sale_price+U128</f>
        <v>678103.64338999998</v>
      </c>
    </row>
    <row r="129" spans="1:22" x14ac:dyDescent="0.25">
      <c r="B129" s="6"/>
      <c r="D129" s="11">
        <f>B$115+E129</f>
        <v>117047.97000000003</v>
      </c>
      <c r="E129" s="11">
        <f>-A23</f>
        <v>-262952.02999999997</v>
      </c>
      <c r="F129" s="11">
        <f>-(B$116+E129)</f>
        <v>-200000.00000000006</v>
      </c>
      <c r="G129" s="11"/>
      <c r="I129" s="37">
        <f t="shared" si="4"/>
        <v>4.3500000000000004E-2</v>
      </c>
      <c r="J129" s="11">
        <f>I129*F129</f>
        <v>-8700.0000000000036</v>
      </c>
      <c r="K129" s="33">
        <f>D129*E$115</f>
        <v>3511.439100000001</v>
      </c>
      <c r="L129" s="11">
        <v>0</v>
      </c>
      <c r="M129">
        <v>0</v>
      </c>
      <c r="N129" s="37">
        <f>F120</f>
        <v>4.3500000000000004E-2</v>
      </c>
      <c r="O129" s="11">
        <f t="shared" si="7"/>
        <v>-8700.0000000000036</v>
      </c>
      <c r="P129" s="33">
        <f t="shared" si="6"/>
        <v>2633.5793250000006</v>
      </c>
      <c r="Q129" s="11">
        <f>J129+O129+K129+P129</f>
        <v>-11254.981575000005</v>
      </c>
      <c r="R129" s="11">
        <f t="shared" si="8"/>
        <v>-200000.00000000006</v>
      </c>
      <c r="S129" s="11">
        <f>R129+Q129</f>
        <v>-211254.98157500007</v>
      </c>
      <c r="T129" s="11">
        <f>D129+S129</f>
        <v>-94207.01157500004</v>
      </c>
      <c r="U129" s="11">
        <v>350000</v>
      </c>
      <c r="V129" s="11">
        <f>T129+Sale_price+U129</f>
        <v>680792.98842499999</v>
      </c>
    </row>
    <row r="130" spans="1:22" ht="16.5" thickBot="1" x14ac:dyDescent="0.3">
      <c r="B130" s="6"/>
      <c r="D130" s="11">
        <f>B$115+E130</f>
        <v>80000</v>
      </c>
      <c r="E130" s="11">
        <v>-300000</v>
      </c>
      <c r="F130" s="11">
        <f>-(B$116+E130)</f>
        <v>-162952.03000000003</v>
      </c>
      <c r="G130" s="11"/>
      <c r="I130" s="38">
        <f>E$120</f>
        <v>4.3500000000000004E-2</v>
      </c>
      <c r="J130" s="39">
        <f>I130*F130</f>
        <v>-7088.4133050000019</v>
      </c>
      <c r="K130" s="34">
        <f>D130*E$115</f>
        <v>2400</v>
      </c>
      <c r="L130" s="11">
        <v>0</v>
      </c>
      <c r="M130">
        <v>0</v>
      </c>
      <c r="N130" s="38">
        <f>F$120</f>
        <v>4.3500000000000004E-2</v>
      </c>
      <c r="O130" s="39">
        <f t="shared" si="7"/>
        <v>-7088.4133050000019</v>
      </c>
      <c r="P130" s="34">
        <f t="shared" si="6"/>
        <v>1800</v>
      </c>
      <c r="Q130" s="11">
        <f>J130+O130+K130+P130</f>
        <v>-9976.8266100000037</v>
      </c>
      <c r="R130" s="11">
        <f t="shared" si="8"/>
        <v>-162952.03000000003</v>
      </c>
      <c r="S130" s="11">
        <f>R130+Q130</f>
        <v>-172928.85661000002</v>
      </c>
      <c r="T130" s="11">
        <f>D130+S130</f>
        <v>-92928.856610000017</v>
      </c>
      <c r="U130" s="11">
        <v>350000</v>
      </c>
      <c r="V130" s="11">
        <f>T130+Sale_price+U130</f>
        <v>682071.14338999998</v>
      </c>
    </row>
    <row r="131" spans="1:22" ht="17.25" thickTop="1" thickBot="1" x14ac:dyDescent="0.3">
      <c r="B131" s="6"/>
      <c r="D131" s="11"/>
    </row>
    <row r="132" spans="1:22" ht="16.5" thickTop="1" x14ac:dyDescent="0.25">
      <c r="A132" s="2" t="s">
        <v>174</v>
      </c>
      <c r="B132" s="6"/>
      <c r="D132" t="s">
        <v>157</v>
      </c>
      <c r="E132" t="s">
        <v>158</v>
      </c>
      <c r="F132" t="s">
        <v>98</v>
      </c>
      <c r="G132" t="s">
        <v>178</v>
      </c>
      <c r="H132" t="s">
        <v>181</v>
      </c>
      <c r="I132" s="35" t="s">
        <v>163</v>
      </c>
      <c r="J132" s="41" t="s">
        <v>182</v>
      </c>
      <c r="K132" s="36" t="s">
        <v>161</v>
      </c>
      <c r="L132" t="s">
        <v>165</v>
      </c>
      <c r="M132" t="s">
        <v>181</v>
      </c>
      <c r="N132" s="35" t="s">
        <v>163</v>
      </c>
      <c r="O132" s="41" t="s">
        <v>160</v>
      </c>
      <c r="P132" s="36" t="s">
        <v>161</v>
      </c>
      <c r="Q132" t="s">
        <v>166</v>
      </c>
      <c r="R132" t="s">
        <v>167</v>
      </c>
      <c r="S132" t="s">
        <v>162</v>
      </c>
      <c r="T132" t="s">
        <v>168</v>
      </c>
      <c r="U132" t="s">
        <v>170</v>
      </c>
      <c r="V132" t="s">
        <v>169</v>
      </c>
    </row>
    <row r="133" spans="1:22" x14ac:dyDescent="0.25">
      <c r="C133" s="11"/>
      <c r="D133" s="11">
        <f>B$115+(E133-G133)</f>
        <v>170000</v>
      </c>
      <c r="E133" s="11">
        <v>-125000</v>
      </c>
      <c r="F133" s="11">
        <f>-H133-(B$116+E133)</f>
        <v>-257952.03000000003</v>
      </c>
      <c r="G133" s="11">
        <v>85000</v>
      </c>
      <c r="H133" s="11">
        <v>-80000</v>
      </c>
      <c r="I133" s="37" t="str">
        <f>E$8</f>
        <v>Triodos HST</v>
      </c>
      <c r="J133" s="11" t="e">
        <f>(I133*F133)+(H133*(I133+E$118))</f>
        <v>#VALUE!</v>
      </c>
      <c r="K133" s="33">
        <f>D133*$E$115</f>
        <v>5100</v>
      </c>
      <c r="L133" s="11">
        <v>80000</v>
      </c>
      <c r="M133" s="11">
        <f>H133+L133</f>
        <v>0</v>
      </c>
      <c r="N133" s="37" t="str">
        <f>F$8</f>
        <v>Cash ISA</v>
      </c>
      <c r="O133" s="11" t="e">
        <f>(F133*N133)+M133*(N133+F$118)</f>
        <v>#VALUE!</v>
      </c>
      <c r="P133" s="33">
        <f>D133*F$115</f>
        <v>3825</v>
      </c>
      <c r="Q133" s="11" t="e">
        <f>J133+O133+K133+P133</f>
        <v>#VALUE!</v>
      </c>
      <c r="R133" s="11">
        <f>F133</f>
        <v>-257952.03000000003</v>
      </c>
      <c r="S133" s="11" t="e">
        <f>R133+Q133</f>
        <v>#VALUE!</v>
      </c>
      <c r="T133" s="11" t="e">
        <f>D133+S133+(G133+M133)</f>
        <v>#VALUE!</v>
      </c>
      <c r="U133" s="11">
        <v>350000</v>
      </c>
      <c r="V133" s="11" t="e">
        <f>T133+A$4+U133</f>
        <v>#VALUE!</v>
      </c>
    </row>
    <row r="134" spans="1:22" x14ac:dyDescent="0.25">
      <c r="C134" s="11"/>
      <c r="D134" s="11">
        <f>B$115+(E134-G134)</f>
        <v>145000</v>
      </c>
      <c r="E134" s="11">
        <v>-150000</v>
      </c>
      <c r="F134" s="11">
        <f>-H134-(B$116+E134)</f>
        <v>-232952.03000000003</v>
      </c>
      <c r="G134" s="11">
        <v>85000</v>
      </c>
      <c r="H134" s="11">
        <v>-80000</v>
      </c>
      <c r="I134" s="37" t="str">
        <f>E$8</f>
        <v>Triodos HST</v>
      </c>
      <c r="J134" s="11" t="e">
        <f t="shared" ref="J134:J136" si="9">(I134*F134)+(H134*(I134+E$118))</f>
        <v>#VALUE!</v>
      </c>
      <c r="K134" s="33">
        <f>D134*$E$115</f>
        <v>4350</v>
      </c>
      <c r="L134" s="11">
        <v>80000</v>
      </c>
      <c r="M134" s="11">
        <f t="shared" ref="M134:M136" si="10">H134+L134</f>
        <v>0</v>
      </c>
      <c r="N134" s="37" t="str">
        <f>F$8</f>
        <v>Cash ISA</v>
      </c>
      <c r="O134" s="11" t="e">
        <f t="shared" ref="O134:O135" si="11">(F134*N134)+M134*(N134+F$118)</f>
        <v>#VALUE!</v>
      </c>
      <c r="P134" s="33">
        <f t="shared" ref="P134:P136" si="12">D134*F$115</f>
        <v>3262.5</v>
      </c>
      <c r="Q134" s="11" t="e">
        <f>J134+O134+K134+P134</f>
        <v>#VALUE!</v>
      </c>
      <c r="R134" s="11">
        <f>F134</f>
        <v>-232952.03000000003</v>
      </c>
      <c r="S134" s="11" t="e">
        <f>R134+Q134</f>
        <v>#VALUE!</v>
      </c>
      <c r="T134" s="11" t="e">
        <f t="shared" ref="T134:T136" si="13">D134+S134+(G134+M134)</f>
        <v>#VALUE!</v>
      </c>
      <c r="U134" s="11">
        <v>350000</v>
      </c>
      <c r="V134" s="11" t="e">
        <f>T134+A$4+U134</f>
        <v>#VALUE!</v>
      </c>
    </row>
    <row r="135" spans="1:22" x14ac:dyDescent="0.25">
      <c r="C135" s="11"/>
      <c r="D135" s="11">
        <f>B$115+(E135-G135)</f>
        <v>110000</v>
      </c>
      <c r="E135" s="11">
        <v>-185000</v>
      </c>
      <c r="F135" s="11">
        <f>-H135-(B$116+E135)</f>
        <v>-197952.03000000003</v>
      </c>
      <c r="G135" s="11">
        <v>85000</v>
      </c>
      <c r="H135" s="11">
        <v>-80000</v>
      </c>
      <c r="I135" s="37" t="str">
        <f>E$8</f>
        <v>Triodos HST</v>
      </c>
      <c r="J135" s="11" t="e">
        <f t="shared" si="9"/>
        <v>#VALUE!</v>
      </c>
      <c r="K135" s="33">
        <f>D135*$E$115</f>
        <v>3300</v>
      </c>
      <c r="L135" s="11">
        <v>80000</v>
      </c>
      <c r="M135" s="11">
        <f t="shared" si="10"/>
        <v>0</v>
      </c>
      <c r="N135" s="37" t="str">
        <f>F$8</f>
        <v>Cash ISA</v>
      </c>
      <c r="O135" s="11" t="e">
        <f t="shared" si="11"/>
        <v>#VALUE!</v>
      </c>
      <c r="P135" s="33">
        <f t="shared" si="12"/>
        <v>2475</v>
      </c>
      <c r="Q135" s="11" t="e">
        <f t="shared" ref="Q135:Q136" si="14">J135+O135+K135+P135</f>
        <v>#VALUE!</v>
      </c>
      <c r="R135" s="11">
        <f>F135</f>
        <v>-197952.03000000003</v>
      </c>
      <c r="S135" s="11" t="e">
        <f t="shared" ref="S135:S136" si="15">R135+Q135</f>
        <v>#VALUE!</v>
      </c>
      <c r="T135" s="11" t="e">
        <f t="shared" si="13"/>
        <v>#VALUE!</v>
      </c>
      <c r="U135" s="11">
        <v>350000</v>
      </c>
      <c r="V135" s="11" t="e">
        <f>T135+A$4+U135</f>
        <v>#VALUE!</v>
      </c>
    </row>
    <row r="136" spans="1:22" ht="16.5" thickBot="1" x14ac:dyDescent="0.3">
      <c r="D136" s="11">
        <f>B$115+(E136-G136)</f>
        <v>95000</v>
      </c>
      <c r="E136" s="11">
        <v>-200000</v>
      </c>
      <c r="F136" s="11">
        <f>-H136-(B$116+E136)</f>
        <v>-182952.03000000003</v>
      </c>
      <c r="G136" s="11">
        <v>85000</v>
      </c>
      <c r="H136" s="11">
        <v>-80000</v>
      </c>
      <c r="I136" s="38" t="str">
        <f>E$8</f>
        <v>Triodos HST</v>
      </c>
      <c r="J136" s="39" t="e">
        <f t="shared" si="9"/>
        <v>#VALUE!</v>
      </c>
      <c r="K136" s="34">
        <f>D136*$E$115</f>
        <v>2850</v>
      </c>
      <c r="L136" s="11">
        <v>80000</v>
      </c>
      <c r="M136" s="11">
        <f t="shared" si="10"/>
        <v>0</v>
      </c>
      <c r="N136" s="38" t="str">
        <f>F$8</f>
        <v>Cash ISA</v>
      </c>
      <c r="O136" s="39" t="e">
        <f>(F136*N136)+M136*(N136+F$118)</f>
        <v>#VALUE!</v>
      </c>
      <c r="P136" s="34">
        <f t="shared" si="12"/>
        <v>2137.5</v>
      </c>
      <c r="Q136" s="11" t="e">
        <f t="shared" si="14"/>
        <v>#VALUE!</v>
      </c>
      <c r="R136" s="11">
        <f>F136</f>
        <v>-182952.03000000003</v>
      </c>
      <c r="S136" s="11" t="e">
        <f t="shared" si="15"/>
        <v>#VALUE!</v>
      </c>
      <c r="T136" s="11" t="e">
        <f t="shared" si="13"/>
        <v>#VALUE!</v>
      </c>
      <c r="U136" s="11">
        <v>350000</v>
      </c>
      <c r="V136" s="11" t="e">
        <f>T136+A$4+U136</f>
        <v>#VALUE!</v>
      </c>
    </row>
    <row r="137" spans="1:22" ht="16.5" thickTop="1" x14ac:dyDescent="0.25">
      <c r="D137" s="11"/>
      <c r="E137" s="11"/>
      <c r="F137" s="11"/>
      <c r="G137" s="11"/>
      <c r="H137" s="6"/>
      <c r="I137" s="11"/>
      <c r="J137" s="11"/>
      <c r="K137" s="11"/>
      <c r="M137" s="6"/>
      <c r="N137" s="11"/>
      <c r="O137" s="11"/>
      <c r="P137" s="11"/>
      <c r="Q137" s="11"/>
      <c r="R137" s="11"/>
      <c r="S137" s="11"/>
      <c r="T137" s="11"/>
      <c r="U137" s="11"/>
    </row>
    <row r="138" spans="1:22" x14ac:dyDescent="0.25">
      <c r="D138" s="11"/>
      <c r="E138" s="11"/>
      <c r="F138" s="11"/>
      <c r="G138" s="11"/>
      <c r="H138" s="6"/>
      <c r="I138" s="11"/>
      <c r="J138" s="11"/>
      <c r="K138" s="11"/>
      <c r="M138" s="6"/>
      <c r="N138" s="11"/>
      <c r="O138" s="11"/>
      <c r="P138" s="11"/>
      <c r="Q138" s="11"/>
      <c r="R138" s="11"/>
      <c r="S138" s="11"/>
      <c r="T138" s="11"/>
      <c r="U138" s="11"/>
    </row>
    <row r="139" spans="1:22" x14ac:dyDescent="0.25">
      <c r="D139" s="11"/>
      <c r="E139" s="11"/>
      <c r="F139" s="11"/>
      <c r="G139" s="6"/>
      <c r="H139" s="11"/>
      <c r="I139" s="11"/>
      <c r="J139" s="11"/>
      <c r="L139" s="6"/>
      <c r="M139" s="11"/>
      <c r="N139" s="11"/>
      <c r="O139" s="11"/>
      <c r="P139" s="11"/>
      <c r="Q139" s="11"/>
      <c r="R139" s="11"/>
      <c r="S139" s="11"/>
      <c r="T139" s="11"/>
      <c r="U139" t="s">
        <v>185</v>
      </c>
      <c r="V139" s="11">
        <f>V126-V128</f>
        <v>71846.356610000017</v>
      </c>
    </row>
    <row r="140" spans="1:22" x14ac:dyDescent="0.25">
      <c r="A140" t="s">
        <v>189</v>
      </c>
      <c r="U140" t="s">
        <v>186</v>
      </c>
      <c r="V140" s="11">
        <f>V139/24</f>
        <v>2993.5981920833342</v>
      </c>
    </row>
    <row r="141" spans="1:22" x14ac:dyDescent="0.25">
      <c r="A141" t="s">
        <v>152</v>
      </c>
      <c r="B141" t="s">
        <v>183</v>
      </c>
    </row>
    <row r="142" spans="1:22" x14ac:dyDescent="0.25">
      <c r="A142" t="s">
        <v>153</v>
      </c>
      <c r="B142" t="s">
        <v>187</v>
      </c>
    </row>
    <row r="143" spans="1:22" x14ac:dyDescent="0.25">
      <c r="A143" t="s">
        <v>180</v>
      </c>
      <c r="B143" t="s">
        <v>184</v>
      </c>
    </row>
    <row r="144" spans="1:22" x14ac:dyDescent="0.25">
      <c r="A144" t="s">
        <v>180</v>
      </c>
      <c r="B144" t="s">
        <v>188</v>
      </c>
    </row>
    <row r="145" spans="1:2" x14ac:dyDescent="0.25">
      <c r="A145" t="s">
        <v>179</v>
      </c>
      <c r="B145" t="s">
        <v>190</v>
      </c>
    </row>
  </sheetData>
  <mergeCells count="5">
    <mergeCell ref="A1:F1"/>
    <mergeCell ref="A2:F2"/>
    <mergeCell ref="A106:E112"/>
    <mergeCell ref="N124:P124"/>
    <mergeCell ref="I124:K124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159</v>
      </c>
      <c r="F1" t="s">
        <v>171</v>
      </c>
    </row>
    <row r="2" spans="1:22" x14ac:dyDescent="0.25">
      <c r="A2" s="26" t="s">
        <v>116</v>
      </c>
      <c r="B2" s="11">
        <v>300000</v>
      </c>
      <c r="D2" t="s">
        <v>164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129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194</v>
      </c>
      <c r="B4" s="11">
        <v>350000</v>
      </c>
      <c r="D4" s="11" t="s">
        <v>193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140</v>
      </c>
      <c r="E5" s="6">
        <v>5.0000000000000001E-3</v>
      </c>
      <c r="F5" s="6">
        <v>5.0000000000000001E-3</v>
      </c>
    </row>
    <row r="6" spans="1:22" x14ac:dyDescent="0.25">
      <c r="D6" s="11" t="s">
        <v>131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60" t="s">
        <v>172</v>
      </c>
      <c r="B8" s="60"/>
      <c r="C8" s="60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60" t="s">
        <v>175</v>
      </c>
      <c r="B9" s="60"/>
      <c r="C9" s="60"/>
      <c r="D9" s="48" t="s">
        <v>176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177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6" t="s">
        <v>159</v>
      </c>
      <c r="J12" s="57"/>
      <c r="K12" s="58"/>
      <c r="N12" s="56" t="s">
        <v>171</v>
      </c>
      <c r="O12" s="57"/>
      <c r="P12" s="58"/>
    </row>
    <row r="13" spans="1:22" x14ac:dyDescent="0.25">
      <c r="A13" s="2" t="s">
        <v>156</v>
      </c>
      <c r="B13" s="6"/>
      <c r="D13" t="s">
        <v>157</v>
      </c>
      <c r="E13" t="s">
        <v>158</v>
      </c>
      <c r="F13" t="s">
        <v>98</v>
      </c>
      <c r="I13" s="31" t="s">
        <v>163</v>
      </c>
      <c r="J13" t="s">
        <v>160</v>
      </c>
      <c r="K13" s="32" t="s">
        <v>161</v>
      </c>
      <c r="L13" t="s">
        <v>165</v>
      </c>
      <c r="M13" t="s">
        <v>181</v>
      </c>
      <c r="N13" s="31" t="s">
        <v>163</v>
      </c>
      <c r="O13" t="s">
        <v>160</v>
      </c>
      <c r="P13" s="32" t="s">
        <v>161</v>
      </c>
      <c r="Q13" t="s">
        <v>166</v>
      </c>
      <c r="R13" t="s">
        <v>167</v>
      </c>
      <c r="S13" t="s">
        <v>162</v>
      </c>
      <c r="T13" t="s">
        <v>168</v>
      </c>
      <c r="U13" t="s">
        <v>170</v>
      </c>
      <c r="V13" t="s">
        <v>169</v>
      </c>
    </row>
    <row r="14" spans="1:22" x14ac:dyDescent="0.25">
      <c r="A14" s="2" t="s">
        <v>191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9" t="s">
        <v>192</v>
      </c>
      <c r="B20" s="59"/>
      <c r="C20" s="59"/>
      <c r="D20" t="s">
        <v>157</v>
      </c>
      <c r="E20" t="s">
        <v>158</v>
      </c>
      <c r="F20" t="s">
        <v>98</v>
      </c>
      <c r="G20" t="s">
        <v>178</v>
      </c>
      <c r="H20" t="s">
        <v>181</v>
      </c>
      <c r="I20" s="35" t="s">
        <v>163</v>
      </c>
      <c r="J20" s="41" t="s">
        <v>182</v>
      </c>
      <c r="K20" s="36" t="s">
        <v>161</v>
      </c>
      <c r="L20" t="s">
        <v>165</v>
      </c>
      <c r="M20" t="s">
        <v>181</v>
      </c>
      <c r="N20" s="35" t="s">
        <v>163</v>
      </c>
      <c r="O20" s="41" t="s">
        <v>160</v>
      </c>
      <c r="P20" s="36" t="s">
        <v>161</v>
      </c>
      <c r="Q20" t="s">
        <v>166</v>
      </c>
      <c r="R20" t="s">
        <v>167</v>
      </c>
      <c r="S20" t="s">
        <v>162</v>
      </c>
      <c r="T20" t="s">
        <v>168</v>
      </c>
      <c r="U20" t="s">
        <v>170</v>
      </c>
      <c r="V20" t="s">
        <v>169</v>
      </c>
    </row>
    <row r="21" spans="1:22" x14ac:dyDescent="0.25">
      <c r="A21" s="59"/>
      <c r="B21" s="59"/>
      <c r="C21" s="59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185</v>
      </c>
      <c r="V27" s="11">
        <f>V14-V16</f>
        <v>61432.5</v>
      </c>
    </row>
    <row r="28" spans="1:22" x14ac:dyDescent="0.25">
      <c r="A28" t="s">
        <v>189</v>
      </c>
      <c r="U28" t="s">
        <v>186</v>
      </c>
      <c r="V28" s="11">
        <f>V27/24</f>
        <v>2559.6875</v>
      </c>
    </row>
    <row r="29" spans="1:22" x14ac:dyDescent="0.25">
      <c r="A29" t="s">
        <v>152</v>
      </c>
      <c r="B29" t="s">
        <v>183</v>
      </c>
    </row>
    <row r="30" spans="1:22" x14ac:dyDescent="0.25">
      <c r="A30" t="s">
        <v>153</v>
      </c>
      <c r="B30" t="s">
        <v>187</v>
      </c>
    </row>
    <row r="31" spans="1:22" x14ac:dyDescent="0.25">
      <c r="A31" t="s">
        <v>180</v>
      </c>
      <c r="B31" t="s">
        <v>184</v>
      </c>
    </row>
    <row r="32" spans="1:22" x14ac:dyDescent="0.25">
      <c r="A32" t="s">
        <v>180</v>
      </c>
      <c r="B32" t="s">
        <v>188</v>
      </c>
    </row>
    <row r="33" spans="1:2" x14ac:dyDescent="0.25">
      <c r="A33" t="s">
        <v>179</v>
      </c>
      <c r="B33" t="s">
        <v>190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2026-02-11T11:48:02Z</dcterms:modified>
</cp:coreProperties>
</file>