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13_ncr:1_{E4963A21-21C8-47EB-97F1-463C5952041A}" xr6:coauthVersionLast="47" xr6:coauthVersionMax="47" xr10:uidLastSave="{00000000-0000-0000-0000-000000000000}"/>
  <bookViews>
    <workbookView xWindow="-120" yWindow="-120" windowWidth="29040" windowHeight="18240" activeTab="1" xr2:uid="{00000000-000D-0000-FFFF-FFFF00000000}"/>
  </bookViews>
  <sheets>
    <sheet name="Sheet1" sheetId="1" r:id="rId1"/>
    <sheet name="Sheet2" sheetId="2" r:id="rId2"/>
  </sheets>
  <definedNames>
    <definedName name="allowance">Sheet1!$F$35</definedName>
    <definedName name="avg_int">Sheet2!$C$20</definedName>
    <definedName name="defer">Sheet1!$F$32</definedName>
    <definedName name="mrate">Sheet1!$H$15</definedName>
    <definedName name="normal">Sheet2!$H$19</definedName>
    <definedName name="off_incr">Sheet2!$L$6</definedName>
    <definedName name="offset">Sheet2!$H$18</definedName>
    <definedName name="rate">Sheet1!$F$36</definedName>
    <definedName name="Sale_price">Sheet2!$A$4</definedName>
    <definedName name="state">Sheet1!$F$31</definedName>
    <definedName name="vanilla">Sheet2!$L$8</definedName>
    <definedName name="vrate">Sheet1!#REF!</definedName>
    <definedName name="years">Sheet1!$H$16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0" i="2" l="1"/>
  <c r="G110" i="2"/>
  <c r="G111" i="2"/>
  <c r="G109" i="2"/>
  <c r="R122" i="2"/>
  <c r="F128" i="2"/>
  <c r="F129" i="2"/>
  <c r="R129" i="2" s="1"/>
  <c r="F130" i="2"/>
  <c r="R130" i="2" s="1"/>
  <c r="F127" i="2"/>
  <c r="R127" i="2" s="1"/>
  <c r="M127" i="2"/>
  <c r="M128" i="2"/>
  <c r="M129" i="2"/>
  <c r="M130" i="2"/>
  <c r="P130" i="2"/>
  <c r="P121" i="2"/>
  <c r="P120" i="2"/>
  <c r="I130" i="2"/>
  <c r="D128" i="2"/>
  <c r="K128" i="2" s="1"/>
  <c r="D129" i="2"/>
  <c r="P129" i="2" s="1"/>
  <c r="D130" i="2"/>
  <c r="D127" i="2"/>
  <c r="K127" i="2" s="1"/>
  <c r="F116" i="2"/>
  <c r="F117" i="2" s="1"/>
  <c r="E116" i="2"/>
  <c r="E117" i="2" s="1"/>
  <c r="N120" i="2"/>
  <c r="O120" i="2" s="1"/>
  <c r="I120" i="2"/>
  <c r="F114" i="2"/>
  <c r="N123" i="2" s="1"/>
  <c r="E114" i="2"/>
  <c r="I123" i="2" s="1"/>
  <c r="D123" i="2"/>
  <c r="K123" i="2" s="1"/>
  <c r="F123" i="2"/>
  <c r="R123" i="2" s="1"/>
  <c r="D122" i="2"/>
  <c r="K122" i="2" s="1"/>
  <c r="F122" i="2"/>
  <c r="K120" i="2"/>
  <c r="D124" i="2"/>
  <c r="P124" i="2" s="1"/>
  <c r="D121" i="2"/>
  <c r="F121" i="2"/>
  <c r="R121" i="2" s="1"/>
  <c r="C21" i="2"/>
  <c r="D21" i="2" s="1"/>
  <c r="C20" i="2"/>
  <c r="F36" i="2" s="1"/>
  <c r="D15" i="2"/>
  <c r="G20" i="2"/>
  <c r="H19" i="2"/>
  <c r="G22" i="2" s="1"/>
  <c r="H22" i="2" s="1"/>
  <c r="H18" i="2"/>
  <c r="G21" i="2" s="1"/>
  <c r="L8" i="2"/>
  <c r="H37" i="2" s="1" a="1"/>
  <c r="H37" i="2" s="1"/>
  <c r="G37" i="2" s="1"/>
  <c r="G38" i="2" s="1"/>
  <c r="D13" i="2"/>
  <c r="A17" i="2" s="1"/>
  <c r="C17" i="2" s="1"/>
  <c r="P123" i="2" l="1"/>
  <c r="P122" i="2"/>
  <c r="P127" i="2"/>
  <c r="P128" i="2"/>
  <c r="O123" i="2"/>
  <c r="J130" i="2"/>
  <c r="N130" i="2"/>
  <c r="O130" i="2" s="1"/>
  <c r="K124" i="2"/>
  <c r="N129" i="2"/>
  <c r="O129" i="2" s="1"/>
  <c r="N128" i="2"/>
  <c r="O128" i="2" s="1"/>
  <c r="I128" i="2"/>
  <c r="J128" i="2" s="1"/>
  <c r="I127" i="2"/>
  <c r="J127" i="2" s="1"/>
  <c r="I129" i="2"/>
  <c r="J129" i="2" s="1"/>
  <c r="N127" i="2"/>
  <c r="O127" i="2" s="1"/>
  <c r="R128" i="2"/>
  <c r="K130" i="2"/>
  <c r="K129" i="2"/>
  <c r="I122" i="2"/>
  <c r="I121" i="2"/>
  <c r="N124" i="2"/>
  <c r="K121" i="2"/>
  <c r="N121" i="2"/>
  <c r="O121" i="2" s="1"/>
  <c r="N122" i="2"/>
  <c r="O122" i="2" s="1"/>
  <c r="I124" i="2"/>
  <c r="Q120" i="2"/>
  <c r="S120" i="2" s="1"/>
  <c r="T120" i="2" s="1"/>
  <c r="V120" i="2" s="1"/>
  <c r="J123" i="2"/>
  <c r="D25" i="2"/>
  <c r="A110" i="2"/>
  <c r="A111" i="2"/>
  <c r="H33" i="2"/>
  <c r="G33" i="2"/>
  <c r="D22" i="2"/>
  <c r="D23" i="2" s="1"/>
  <c r="C25" i="2"/>
  <c r="A25" i="2"/>
  <c r="C22" i="2"/>
  <c r="A22" i="2"/>
  <c r="H35" i="2" a="1"/>
  <c r="H35" i="2" s="1"/>
  <c r="G35" i="2" s="1"/>
  <c r="G36" i="2" s="1"/>
  <c r="G25" i="2"/>
  <c r="H25" i="2" s="1"/>
  <c r="H31" i="2"/>
  <c r="G24" i="2"/>
  <c r="H24" i="2" s="1"/>
  <c r="G29" i="2"/>
  <c r="H29" i="2"/>
  <c r="G31" i="2"/>
  <c r="G23" i="2"/>
  <c r="H21" i="2"/>
  <c r="C6" i="2"/>
  <c r="A49" i="2"/>
  <c r="A48" i="2"/>
  <c r="Q128" i="2" l="1"/>
  <c r="S128" i="2" s="1"/>
  <c r="Q127" i="2"/>
  <c r="S127" i="2" s="1"/>
  <c r="T127" i="2" s="1"/>
  <c r="Q129" i="2"/>
  <c r="S129" i="2" s="1"/>
  <c r="Q130" i="2"/>
  <c r="S130" i="2" s="1"/>
  <c r="J121" i="2"/>
  <c r="Q121" i="2" s="1"/>
  <c r="S121" i="2" s="1"/>
  <c r="T121" i="2" s="1"/>
  <c r="V121" i="2" s="1"/>
  <c r="J122" i="2"/>
  <c r="Q122" i="2" s="1"/>
  <c r="S122" i="2" s="1"/>
  <c r="T122" i="2" s="1"/>
  <c r="V122" i="2" s="1"/>
  <c r="Q123" i="2"/>
  <c r="S123" i="2" s="1"/>
  <c r="T123" i="2" s="1"/>
  <c r="V123" i="2" s="1"/>
  <c r="J34" i="2"/>
  <c r="L34" i="2" s="1"/>
  <c r="M34" i="2" s="1"/>
  <c r="J33" i="2"/>
  <c r="D24" i="2"/>
  <c r="A24" i="2"/>
  <c r="J30" i="2" s="1"/>
  <c r="L30" i="2" s="1"/>
  <c r="M30" i="2" s="1"/>
  <c r="A23" i="2"/>
  <c r="J29" i="2" s="1"/>
  <c r="C23" i="2"/>
  <c r="C24" i="2"/>
  <c r="J32" i="2" s="1"/>
  <c r="L32" i="2" s="1"/>
  <c r="M32" i="2" s="1"/>
  <c r="G26" i="2"/>
  <c r="A85" i="2"/>
  <c r="A88" i="2"/>
  <c r="A78" i="2"/>
  <c r="A77" i="2" s="1"/>
  <c r="A75" i="2"/>
  <c r="A69" i="2"/>
  <c r="A68" i="2"/>
  <c r="A67" i="2"/>
  <c r="A59" i="2"/>
  <c r="A64" i="2"/>
  <c r="A46" i="2"/>
  <c r="V134" i="2" l="1"/>
  <c r="V133" i="2"/>
  <c r="T128" i="2"/>
  <c r="V128" i="2" s="1"/>
  <c r="T130" i="2"/>
  <c r="V130" i="2" s="1"/>
  <c r="T129" i="2"/>
  <c r="V129" i="2" s="1"/>
  <c r="V127" i="2"/>
  <c r="L33" i="2"/>
  <c r="M33" i="2" s="1"/>
  <c r="J31" i="2"/>
  <c r="L31" i="2" s="1"/>
  <c r="M31" i="2" s="1"/>
  <c r="L29" i="2"/>
  <c r="M29" i="2" s="1"/>
  <c r="J36" i="2"/>
  <c r="L36" i="2" s="1"/>
  <c r="M36" i="2" s="1"/>
  <c r="J35" i="2"/>
  <c r="L35" i="2" s="1"/>
  <c r="M35" i="2" s="1"/>
  <c r="A70" i="2"/>
  <c r="A79" i="2" s="1"/>
  <c r="A80" i="2"/>
  <c r="A81" i="2" l="1"/>
  <c r="A47" i="2"/>
  <c r="A50" i="2" s="1"/>
  <c r="A15" i="2" l="1"/>
  <c r="C13" i="2" l="1"/>
  <c r="A16" i="2" l="1"/>
  <c r="C18" i="2" s="1"/>
  <c r="D18" i="2" s="1"/>
  <c r="E16" i="1"/>
  <c r="C6" i="1"/>
  <c r="E7" i="1"/>
  <c r="C50" i="1"/>
  <c r="B45" i="1"/>
  <c r="B46" i="1" s="1"/>
  <c r="A58" i="2" s="1"/>
  <c r="A84" i="2" s="1"/>
  <c r="E24" i="1"/>
  <c r="E6" i="1"/>
  <c r="C9" i="1"/>
  <c r="G12" i="1"/>
  <c r="E12" i="1" s="1"/>
  <c r="C11" i="1"/>
  <c r="A18" i="2" l="1"/>
  <c r="C32" i="1"/>
  <c r="C31" i="1"/>
  <c r="A82" i="2" s="1"/>
  <c r="C27" i="1"/>
  <c r="C12" i="1"/>
  <c r="J15" i="1"/>
  <c r="J14" i="1"/>
  <c r="C4" i="1"/>
  <c r="A45" i="2" l="1"/>
  <c r="A51" i="2" s="1"/>
  <c r="A19" i="2"/>
  <c r="A63" i="2"/>
  <c r="A65" i="2" s="1"/>
  <c r="J18" i="1"/>
  <c r="C33" i="1"/>
  <c r="C7" i="1" l="1"/>
  <c r="E19" i="1" s="1"/>
  <c r="F19" i="1" s="1"/>
  <c r="C15" i="1" l="1"/>
  <c r="H23" i="1"/>
  <c r="F20" i="1"/>
  <c r="J10" i="1"/>
  <c r="C28" i="1"/>
  <c r="C29" i="1" s="1"/>
  <c r="H30" i="1" s="1"/>
  <c r="E10" i="1" l="1"/>
  <c r="C36" i="1"/>
  <c r="C37" i="1" s="1"/>
  <c r="C16" i="1"/>
  <c r="H24" i="1"/>
  <c r="C10" i="1"/>
  <c r="C13" i="1" s="1"/>
  <c r="D13" i="1" s="1"/>
  <c r="B10" i="1"/>
  <c r="B17" i="1"/>
  <c r="H25" i="1" l="1"/>
  <c r="H26" i="1" s="1"/>
  <c r="C18" i="1"/>
  <c r="C19" i="1" s="1"/>
  <c r="C21" i="1" s="1"/>
  <c r="C38" i="1"/>
  <c r="C14" i="1"/>
  <c r="H38" i="1"/>
  <c r="B31" i="1"/>
  <c r="G10" i="1"/>
  <c r="B12" i="1" l="1"/>
  <c r="B6" i="1"/>
  <c r="B7" i="1" l="1"/>
  <c r="E18" i="1" s="1"/>
  <c r="F18" i="1" s="1"/>
  <c r="B32" i="1"/>
  <c r="B28" i="1"/>
  <c r="B27" i="1"/>
  <c r="B13" i="1"/>
  <c r="B33" i="1" l="1"/>
  <c r="B35" i="1" s="1"/>
  <c r="B36" i="1" s="1"/>
  <c r="B37" i="1" s="1"/>
  <c r="A83" i="2"/>
  <c r="A86" i="2" s="1"/>
  <c r="A89" i="2" s="1"/>
  <c r="B29" i="1"/>
  <c r="B16" i="1"/>
  <c r="B38" i="1" l="1"/>
  <c r="B18" i="1"/>
  <c r="B19" i="1" s="1"/>
  <c r="B21" i="1" s="1"/>
  <c r="F124" i="2" l="1"/>
  <c r="R124" i="2" s="1"/>
  <c r="O124" i="2" l="1"/>
  <c r="J124" i="2"/>
  <c r="Q124" i="2" l="1"/>
  <c r="S124" i="2" s="1"/>
  <c r="T124" i="2" s="1"/>
  <c r="V124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<sst xmlns="http://schemas.openxmlformats.org/spreadsheetml/2006/main" count="274" uniqueCount="199">
  <si>
    <t>HT annual pension @75%</t>
  </si>
  <si>
    <t>Rough calculation of available funds for flat purchase</t>
  </si>
  <si>
    <t>Current surplus in bank</t>
  </si>
  <si>
    <t>BUT also get remainder of lump sum when fully retire</t>
  </si>
  <si>
    <t>MINUS salary, PLUS remaining 25% of pension</t>
  </si>
  <si>
    <t>Estimate of Cath lump sum when fully retire</t>
  </si>
  <si>
    <t>Likely lump sum remainder</t>
  </si>
  <si>
    <t>That leaves us to live on annually</t>
  </si>
  <si>
    <t xml:space="preserve">That leaves us to live on per month </t>
  </si>
  <si>
    <t>We currently spend £2,800/month on regular payments plus cash</t>
  </si>
  <si>
    <t>Estimate of HST lump sum when fully retire</t>
  </si>
  <si>
    <t>Gross annual income once fully retired</t>
  </si>
  <si>
    <t>state</t>
  </si>
  <si>
    <t>defer++</t>
  </si>
  <si>
    <t>After tax</t>
  </si>
  <si>
    <t>allowance</t>
  </si>
  <si>
    <t>rate</t>
  </si>
  <si>
    <t>Taxable</t>
  </si>
  <si>
    <t>Gross</t>
  </si>
  <si>
    <t>Net</t>
  </si>
  <si>
    <t>Annual income estimated from 1Aug2019 (net of tax)</t>
  </si>
  <si>
    <t>JEJT contingency</t>
  </si>
  <si>
    <t>CWT annual salary @ 0.5FTE, net</t>
  </si>
  <si>
    <t>CWT annual pension @75%, net</t>
  </si>
  <si>
    <t>HT annual salary @0.5 FTE, net</t>
  </si>
  <si>
    <t>Cost</t>
  </si>
  <si>
    <t>Less deposit</t>
  </si>
  <si>
    <t>years</t>
  </si>
  <si>
    <t>mrate</t>
  </si>
  <si>
    <t>Estimate of Cath income when fully retired - gross pension</t>
  </si>
  <si>
    <t>Estimate of Henry income when fully retired - gross pension</t>
  </si>
  <si>
    <t>Per month</t>
  </si>
  <si>
    <t>Cost of sale</t>
  </si>
  <si>
    <t>Available for down payment</t>
  </si>
  <si>
    <t>So, unless we use W'dell to pay off mortgage, we're in trouble…</t>
  </si>
  <si>
    <t>Annual mortgage payment</t>
  </si>
  <si>
    <t>annual cost of mortgage</t>
  </si>
  <si>
    <t>Annual overdraft payment</t>
  </si>
  <si>
    <t>What we'd have to limit ourselves to on credit card (~ 1/2 of what we currenly spend)</t>
  </si>
  <si>
    <t>Disposition</t>
  </si>
  <si>
    <t>Standard Security</t>
  </si>
  <si>
    <t>LBTT</t>
  </si>
  <si>
    <t>ADS</t>
  </si>
  <si>
    <t>Altis</t>
  </si>
  <si>
    <t>Fee+VAT</t>
  </si>
  <si>
    <t>(state only)</t>
  </si>
  <si>
    <t>Monthly income, net of tax and mortgage</t>
  </si>
  <si>
    <t>Suppose we fully retire</t>
  </si>
  <si>
    <t>now including main pension)</t>
  </si>
  <si>
    <t>Every 10000 we add to the purchase price costs us 200/mo</t>
  </si>
  <si>
    <t>Or, every 10000 we take off the price only saves us 200/mo</t>
  </si>
  <si>
    <t>Available for down payment and costs</t>
  </si>
  <si>
    <t>interest only</t>
  </si>
  <si>
    <t>Actual net 7/10</t>
  </si>
  <si>
    <t>Actual net</t>
  </si>
  <si>
    <t>Annual cost</t>
  </si>
  <si>
    <t>Monthly</t>
  </si>
  <si>
    <t>Waterdell sale estimate</t>
  </si>
  <si>
    <t>Balance</t>
  </si>
  <si>
    <t>Annual net</t>
  </si>
  <si>
    <t>Monthly net</t>
  </si>
  <si>
    <t>Rent</t>
  </si>
  <si>
    <t>Net of tax and expenses</t>
  </si>
  <si>
    <t>Triodos</t>
  </si>
  <si>
    <t>Cash ISA HST</t>
  </si>
  <si>
    <t>Cash ISA CWT</t>
  </si>
  <si>
    <t>IFISA HST</t>
  </si>
  <si>
    <t>IFISA CWT</t>
  </si>
  <si>
    <t>These are not liquid</t>
  </si>
  <si>
    <t>Interest only</t>
  </si>
  <si>
    <t>Ecology BS HST</t>
  </si>
  <si>
    <t>Ecology BS CWT</t>
  </si>
  <si>
    <t>Cost of purchase</t>
  </si>
  <si>
    <t>Sale price</t>
  </si>
  <si>
    <t>Total</t>
  </si>
  <si>
    <t>Overdraft</t>
  </si>
  <si>
    <t>Sale Price</t>
  </si>
  <si>
    <t>Cash contribution</t>
  </si>
  <si>
    <t>Loan requirement</t>
  </si>
  <si>
    <t>Cost of Purchase</t>
  </si>
  <si>
    <t>2-year fixed interest-only loan rate</t>
  </si>
  <si>
    <t>Tax</t>
  </si>
  <si>
    <t>Capital expectations</t>
  </si>
  <si>
    <t>Waterdell</t>
  </si>
  <si>
    <t>CWT remaining lump</t>
  </si>
  <si>
    <t>HST remaining lump</t>
  </si>
  <si>
    <t>Liquid savings</t>
  </si>
  <si>
    <t>Cash ISAs, Triodos</t>
  </si>
  <si>
    <t>CWT Skipton</t>
  </si>
  <si>
    <t>Loan fee</t>
  </si>
  <si>
    <t>Transfer fee</t>
  </si>
  <si>
    <t>Savings, Ecology BS</t>
  </si>
  <si>
    <t>Management fee</t>
  </si>
  <si>
    <t>Contents insurance?</t>
  </si>
  <si>
    <t>Actual loan</t>
  </si>
  <si>
    <t>Shortfall</t>
  </si>
  <si>
    <t>from each Cash ISA</t>
  </si>
  <si>
    <t>Net monthly income</t>
  </si>
  <si>
    <t>Net full-cost balance</t>
  </si>
  <si>
    <t>Loan</t>
  </si>
  <si>
    <t>Lump sums</t>
  </si>
  <si>
    <t>Remaining capital</t>
  </si>
  <si>
    <t>Post-repay income</t>
  </si>
  <si>
    <t>Savings rate?</t>
  </si>
  <si>
    <t>Net monthly income from assets</t>
  </si>
  <si>
    <t>State pensions</t>
  </si>
  <si>
    <t>Personal pensions</t>
  </si>
  <si>
    <t>Total net monthly income</t>
  </si>
  <si>
    <t>Current net salaries+pensions</t>
  </si>
  <si>
    <t>Change in monthly income</t>
  </si>
  <si>
    <t>ISAs and savings</t>
  </si>
  <si>
    <t>Other misc pensions</t>
  </si>
  <si>
    <t>Factoring fee</t>
  </si>
  <si>
    <t>So we should be OK to pay off the loan on its 2nd anniversary, e.g. January 23 2022</t>
  </si>
  <si>
    <t>Mortgage from e.g. HSBC</t>
  </si>
  <si>
    <t>Stamp Duty</t>
  </si>
  <si>
    <t>From liquidations</t>
  </si>
  <si>
    <t>Contingencies</t>
  </si>
  <si>
    <t>Savings</t>
  </si>
  <si>
    <t>Belford Rent</t>
  </si>
  <si>
    <t>Funding the purchase of 4 Chichester House in Cambridge</t>
  </si>
  <si>
    <t>This version: 16 June 2025</t>
  </si>
  <si>
    <t>Cash ISA</t>
  </si>
  <si>
    <t>08-90-72</t>
  </si>
  <si>
    <t>Skipton BS HST</t>
  </si>
  <si>
    <t>20 - 78 - 91</t>
  </si>
  <si>
    <t>Triodos HST</t>
  </si>
  <si>
    <t>16-58-10</t>
  </si>
  <si>
    <t>Triodos CWT</t>
  </si>
  <si>
    <t>Fixed Rate fee</t>
  </si>
  <si>
    <t>Valuation fee</t>
  </si>
  <si>
    <t>Legal fees</t>
  </si>
  <si>
    <t>Disposition?</t>
  </si>
  <si>
    <t>Standard Security?</t>
  </si>
  <si>
    <t>BoE base</t>
  </si>
  <si>
    <t>H base</t>
  </si>
  <si>
    <t>I-only incr</t>
  </si>
  <si>
    <t>I-only, variable</t>
  </si>
  <si>
    <t>I-only offset</t>
  </si>
  <si>
    <t>2-part examples</t>
  </si>
  <si>
    <t>LTV wrt Douglas Crescent</t>
  </si>
  <si>
    <t>I-only normal</t>
  </si>
  <si>
    <t>offset</t>
  </si>
  <si>
    <t>normal</t>
  </si>
  <si>
    <t>1-part examples</t>
  </si>
  <si>
    <t>vanilla</t>
  </si>
  <si>
    <t>offset incr</t>
  </si>
  <si>
    <t>avg_int</t>
  </si>
  <si>
    <t xml:space="preserve">monthly lost interest  </t>
  </si>
  <si>
    <t>offset drawn</t>
  </si>
  <si>
    <t>yr 1 lost</t>
  </si>
  <si>
    <t>y 2 lost no lump</t>
  </si>
  <si>
    <t>y 2 lost w. lump</t>
  </si>
  <si>
    <t>1 yr lump?</t>
  </si>
  <si>
    <t>After 1 yr</t>
  </si>
  <si>
    <t>After 2 yr</t>
  </si>
  <si>
    <t>w. lump</t>
  </si>
  <si>
    <t>offset 50% drawn</t>
  </si>
  <si>
    <t>Day 1</t>
  </si>
  <si>
    <t>Day 2</t>
  </si>
  <si>
    <t>I'm trying to work to this goal: Maximise flexibility while minimising cost.  To that end I am trying compute the (total) cost for two options, assuming that:
 a) We might need 50--80k some time in year 1;
 b) We should get 80K from my final lump sum by the end of year 1
 c) We need 385K to buy the flat; we have about 300K in (liquid) savings.</t>
  </si>
  <si>
    <t>Variable rate interest-only rate</t>
  </si>
  <si>
    <t>Interest-only offset rate</t>
  </si>
  <si>
    <t>Single loans use BoE base, part&amp;part use HB base</t>
  </si>
  <si>
    <t>Option 1: A single interest-only loan</t>
  </si>
  <si>
    <t>Reserve</t>
  </si>
  <si>
    <t>Deposit</t>
  </si>
  <si>
    <t>Year 1</t>
  </si>
  <si>
    <t>Loan pmt</t>
  </si>
  <si>
    <t>Reserve interest</t>
  </si>
  <si>
    <t>Total cost</t>
  </si>
  <si>
    <t>Interest</t>
  </si>
  <si>
    <t>Svgs Interest</t>
  </si>
  <si>
    <t>Lump sum</t>
  </si>
  <si>
    <t>Net interest</t>
  </si>
  <si>
    <t>Capital repayment</t>
  </si>
  <si>
    <t>Net to find</t>
  </si>
  <si>
    <t>Asset delta</t>
  </si>
  <si>
    <t>Sell Belford</t>
  </si>
  <si>
    <t>Year 2</t>
  </si>
  <si>
    <t>Single loans use BoE base</t>
  </si>
  <si>
    <r>
      <t xml:space="preserve">     </t>
    </r>
    <r>
      <rPr>
        <sz val="12"/>
        <color theme="1"/>
        <rFont val="Calibri"/>
        <family val="2"/>
        <scheme val="minor"/>
      </rPr>
      <t>Cheat to compare with no purchase</t>
    </r>
  </si>
  <si>
    <t>Option 2: Part and part interest only</t>
  </si>
  <si>
    <t>Part&amp;part use HB base</t>
  </si>
  <si>
    <t>Normal part</t>
  </si>
  <si>
    <t>Offset part</t>
  </si>
  <si>
    <t>Offset</t>
  </si>
  <si>
    <t>Day 4</t>
  </si>
  <si>
    <t>Day 3</t>
  </si>
  <si>
    <t>Drawn</t>
  </si>
  <si>
    <t>Loan pmts</t>
  </si>
  <si>
    <t>We liquidate 85K, put it in a savings account</t>
  </si>
  <si>
    <t>We  liquidate 70K, add to the current account</t>
  </si>
  <si>
    <t>Net cost</t>
  </si>
  <si>
    <t>per month</t>
  </si>
  <si>
    <t>We draw down 80K into the current account</t>
  </si>
  <si>
    <t>We pay the deposit with the 150K in the current account</t>
  </si>
  <si>
    <t>How the part+part would work for the 150 deposit version</t>
  </si>
  <si>
    <t>We borrow 155K, liquidate 80K and pay the balance on the house and all the costs with the resulting 235K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</si>
</sst>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;[Red]\-&quot;£&quot;#,##0"/>
    <numFmt numFmtId="8" formatCode="&quot;£&quot;#,##0.00;[Red]\-&quot;£&quot;#,##0.00"/>
    <numFmt numFmtId="164" formatCode="&quot;£&quot;#,##0"/>
    <numFmt numFmtId="165" formatCode="&quot;£&quot;#,##0.00"/>
    <numFmt numFmtId="166" formatCode="&quot;£&quot;#,##0.00;[Red]&quot;£&quot;#,##0.00"/>
    <numFmt numFmtId="167" formatCode="#,##0.000;[Red]#,##0.000"/>
    <numFmt numFmtId="168" formatCode="[$-809]dd\ mmmm\ yyyy;@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53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6" fontId="0" fillId="0" borderId="0" xfId="0" applyNumberFormat="1"/>
    <xf numFmtId="10" fontId="0" fillId="0" borderId="0" xfId="0" applyNumberFormat="1"/>
    <xf numFmtId="16" fontId="0" fillId="0" borderId="0" xfId="0" applyNumberFormat="1"/>
    <xf numFmtId="8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0" fontId="1" fillId="2" borderId="1" xfId="1" applyFont="1"/>
    <xf numFmtId="0" fontId="0" fillId="2" borderId="1" xfId="1" applyFont="1"/>
    <xf numFmtId="0" fontId="0" fillId="2" borderId="3" xfId="1" applyFont="1" applyBorder="1"/>
    <xf numFmtId="166" fontId="0" fillId="2" borderId="3" xfId="1" applyNumberFormat="1" applyFont="1" applyBorder="1"/>
    <xf numFmtId="0" fontId="1" fillId="2" borderId="2" xfId="1" applyFont="1" applyBorder="1"/>
    <xf numFmtId="6" fontId="1" fillId="2" borderId="1" xfId="1" applyNumberFormat="1" applyFont="1"/>
    <xf numFmtId="0" fontId="0" fillId="2" borderId="4" xfId="1" applyFont="1" applyBorder="1"/>
    <xf numFmtId="6" fontId="0" fillId="2" borderId="4" xfId="1" applyNumberFormat="1" applyFont="1" applyBorder="1"/>
    <xf numFmtId="166" fontId="0" fillId="0" borderId="5" xfId="0" applyNumberFormat="1" applyBorder="1"/>
    <xf numFmtId="0" fontId="0" fillId="0" borderId="5" xfId="0" applyBorder="1"/>
    <xf numFmtId="166" fontId="1" fillId="0" borderId="0" xfId="0" applyNumberFormat="1" applyFont="1"/>
    <xf numFmtId="10" fontId="0" fillId="0" borderId="5" xfId="0" applyNumberFormat="1" applyBorder="1"/>
    <xf numFmtId="167" fontId="0" fillId="0" borderId="0" xfId="0" applyNumberFormat="1"/>
    <xf numFmtId="6" fontId="0" fillId="2" borderId="6" xfId="1" applyNumberFormat="1" applyFont="1" applyBorder="1"/>
    <xf numFmtId="0" fontId="0" fillId="0" borderId="0" xfId="0" applyAlignment="1">
      <alignment horizontal="left" wrapText="1"/>
    </xf>
    <xf numFmtId="4" fontId="5" fillId="4" borderId="0" xfId="3" applyNumberFormat="1"/>
    <xf numFmtId="0" fontId="0" fillId="0" borderId="0" xfId="0" quotePrefix="1" applyAlignment="1">
      <alignment horizontal="right"/>
    </xf>
    <xf numFmtId="4" fontId="4" fillId="3" borderId="0" xfId="2" applyNumberFormat="1"/>
    <xf numFmtId="0" fontId="0" fillId="0" borderId="0" xfId="0" quotePrefix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166" fontId="0" fillId="0" borderId="10" xfId="0" applyNumberFormat="1" applyBorder="1"/>
    <xf numFmtId="166" fontId="0" fillId="0" borderId="12" xfId="0" applyNumberFormat="1" applyBorder="1"/>
    <xf numFmtId="0" fontId="0" fillId="0" borderId="7" xfId="0" applyBorder="1"/>
    <xf numFmtId="0" fontId="0" fillId="0" borderId="8" xfId="0" applyBorder="1"/>
    <xf numFmtId="10" fontId="0" fillId="0" borderId="9" xfId="0" applyNumberFormat="1" applyBorder="1"/>
    <xf numFmtId="10" fontId="0" fillId="0" borderId="11" xfId="0" applyNumberFormat="1" applyBorder="1"/>
    <xf numFmtId="0" fontId="0" fillId="0" borderId="13" xfId="0" applyBorder="1" applyAlignment="1">
      <alignment horizontal="center"/>
    </xf>
    <xf numFmtId="0" fontId="0" fillId="0" borderId="0" xfId="0" applyBorder="1"/>
    <xf numFmtId="166" fontId="0" fillId="0" borderId="0" xfId="0" applyNumberFormat="1" applyBorder="1"/>
    <xf numFmtId="166" fontId="0" fillId="0" borderId="14" xfId="0" applyNumberFormat="1" applyBorder="1"/>
    <xf numFmtId="10" fontId="0" fillId="0" borderId="0" xfId="0" applyNumberFormat="1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</cellXfs>
  <cellStyles count="4">
    <cellStyle name="Good" xfId="2" builtinId="26"/>
    <cellStyle name="Neutral" xfId="3" builtinId="2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workbookViewId="0">
      <selection activeCell="E16" sqref="E16"/>
    </sheetView>
  </sheetViews>
  <sheetFormatPr defaultColWidth="11" defaultRowHeight="15.75" x14ac:dyDescent="0.25"/>
  <cols>
    <col min="1" max="1" width="62" customWidth="1"/>
    <col min="2" max="2" width="11.375" style="1" bestFit="1" customWidth="1"/>
  </cols>
  <sheetData>
    <row r="1" spans="1:10" x14ac:dyDescent="0.25">
      <c r="A1" s="2" t="s">
        <v>1</v>
      </c>
    </row>
    <row r="2" spans="1:10" x14ac:dyDescent="0.25">
      <c r="C2" s="7">
        <v>43745</v>
      </c>
    </row>
    <row r="3" spans="1:10" x14ac:dyDescent="0.25">
      <c r="A3" t="s">
        <v>2</v>
      </c>
      <c r="B3" s="1">
        <v>0</v>
      </c>
      <c r="C3">
        <v>200000</v>
      </c>
    </row>
    <row r="4" spans="1:10" x14ac:dyDescent="0.25">
      <c r="A4" t="s">
        <v>21</v>
      </c>
      <c r="B4" s="5">
        <v>0</v>
      </c>
      <c r="C4" s="5">
        <f>B4</f>
        <v>0</v>
      </c>
    </row>
    <row r="5" spans="1:10" x14ac:dyDescent="0.25">
      <c r="C5" s="5"/>
      <c r="E5" s="5"/>
      <c r="H5" s="8"/>
    </row>
    <row r="6" spans="1:10" s="2" customFormat="1" x14ac:dyDescent="0.25">
      <c r="A6" s="2" t="s">
        <v>51</v>
      </c>
      <c r="B6" s="3">
        <f>SUM(B3:B5)</f>
        <v>0</v>
      </c>
      <c r="C6" s="3">
        <f>Sheet2!D13</f>
        <v>163539.00000000003</v>
      </c>
      <c r="E6" s="5" t="e">
        <f>12*PMT(vrate/12,years*12,C5)</f>
        <v>#REF!</v>
      </c>
      <c r="F6" s="7">
        <v>43745</v>
      </c>
    </row>
    <row r="7" spans="1:10" s="2" customFormat="1" x14ac:dyDescent="0.25">
      <c r="A7" s="2" t="s">
        <v>33</v>
      </c>
      <c r="B7" s="3">
        <f>B6+E16</f>
        <v>-33539</v>
      </c>
      <c r="C7" s="3">
        <f>C6+E16</f>
        <v>130000.00000000003</v>
      </c>
      <c r="E7" s="5" t="e">
        <f>-vrate*C5</f>
        <v>#REF!</v>
      </c>
      <c r="F7" t="s">
        <v>69</v>
      </c>
    </row>
    <row r="8" spans="1:10" x14ac:dyDescent="0.25">
      <c r="C8" s="1"/>
    </row>
    <row r="9" spans="1:10" x14ac:dyDescent="0.25">
      <c r="A9" t="s">
        <v>22</v>
      </c>
      <c r="B9" s="1">
        <v>30480</v>
      </c>
      <c r="C9" s="1">
        <f>2592*12</f>
        <v>31104</v>
      </c>
      <c r="F9" s="4"/>
    </row>
    <row r="10" spans="1:10" x14ac:dyDescent="0.25">
      <c r="A10" t="s">
        <v>23</v>
      </c>
      <c r="B10" s="1">
        <f>0.75*J10</f>
        <v>12030.300000000001</v>
      </c>
      <c r="C10" s="1">
        <f>J10</f>
        <v>16040.400000000001</v>
      </c>
      <c r="D10" s="4" t="s">
        <v>18</v>
      </c>
      <c r="E10" s="1">
        <f>J10/0.8</f>
        <v>20050.5</v>
      </c>
      <c r="F10" s="4" t="s">
        <v>19</v>
      </c>
      <c r="G10" s="1">
        <f>15790/0.75</f>
        <v>21053.333333333332</v>
      </c>
      <c r="H10" t="s">
        <v>53</v>
      </c>
      <c r="I10">
        <v>1336.7</v>
      </c>
      <c r="J10">
        <f>I10*12</f>
        <v>16040.400000000001</v>
      </c>
    </row>
    <row r="11" spans="1:10" x14ac:dyDescent="0.25">
      <c r="A11" t="s">
        <v>24</v>
      </c>
      <c r="B11" s="1">
        <v>24468</v>
      </c>
      <c r="C11" s="1">
        <f>2250*12</f>
        <v>27000</v>
      </c>
      <c r="E11" s="1"/>
    </row>
    <row r="12" spans="1:10" x14ac:dyDescent="0.25">
      <c r="A12" t="s">
        <v>0</v>
      </c>
      <c r="B12" s="1">
        <f>0.75*G12</f>
        <v>17582.399999999998</v>
      </c>
      <c r="C12" s="1">
        <f>G12</f>
        <v>23443.199999999997</v>
      </c>
      <c r="D12" s="4" t="s">
        <v>18</v>
      </c>
      <c r="E12" s="1">
        <f>G12/0.8</f>
        <v>29303.999999999996</v>
      </c>
      <c r="F12" s="4" t="s">
        <v>54</v>
      </c>
      <c r="G12" s="1">
        <f>1953.6*12</f>
        <v>23443.199999999997</v>
      </c>
      <c r="I12" t="s">
        <v>39</v>
      </c>
      <c r="J12">
        <v>480</v>
      </c>
    </row>
    <row r="13" spans="1:10" x14ac:dyDescent="0.25">
      <c r="A13" s="2" t="s">
        <v>20</v>
      </c>
      <c r="B13" s="3">
        <f>SUM(B9:B12)</f>
        <v>84560.7</v>
      </c>
      <c r="C13" s="3">
        <f>SUM(C9:C12)</f>
        <v>97587.599999999991</v>
      </c>
      <c r="D13" s="9">
        <f>C13/12</f>
        <v>8132.2999999999993</v>
      </c>
      <c r="E13" s="1"/>
      <c r="I13" t="s">
        <v>40</v>
      </c>
      <c r="J13">
        <v>60</v>
      </c>
    </row>
    <row r="14" spans="1:10" x14ac:dyDescent="0.25">
      <c r="C14" s="9">
        <f>C13/12</f>
        <v>8132.2999999999993</v>
      </c>
      <c r="E14" s="1"/>
      <c r="I14" t="s">
        <v>41</v>
      </c>
      <c r="J14" s="8">
        <f>8350*-E15/350000</f>
        <v>-10735.714285714286</v>
      </c>
    </row>
    <row r="15" spans="1:10" x14ac:dyDescent="0.25">
      <c r="A15" t="s">
        <v>114</v>
      </c>
      <c r="B15" s="5">
        <v>270000</v>
      </c>
      <c r="C15" s="5">
        <f>E19</f>
        <v>580000</v>
      </c>
      <c r="D15" t="s">
        <v>25</v>
      </c>
      <c r="E15" s="5">
        <v>450000</v>
      </c>
      <c r="G15" t="s">
        <v>28</v>
      </c>
      <c r="H15" s="6">
        <v>4.99E-2</v>
      </c>
      <c r="I15" t="s">
        <v>42</v>
      </c>
      <c r="J15" s="5">
        <f>14000*-E15/350000</f>
        <v>-18000</v>
      </c>
    </row>
    <row r="16" spans="1:10" x14ac:dyDescent="0.25">
      <c r="A16" t="s">
        <v>35</v>
      </c>
      <c r="B16" s="5">
        <f>F18</f>
        <v>94286.699835994223</v>
      </c>
      <c r="C16" s="5">
        <f>F19</f>
        <v>8061.9999999999991</v>
      </c>
      <c r="D16" t="s">
        <v>32</v>
      </c>
      <c r="E16" s="5">
        <f>-Sheet2!C13</f>
        <v>-33539</v>
      </c>
      <c r="G16" t="s">
        <v>27</v>
      </c>
      <c r="H16">
        <v>5</v>
      </c>
      <c r="I16" t="s">
        <v>43</v>
      </c>
      <c r="J16">
        <v>30</v>
      </c>
    </row>
    <row r="17" spans="1:10" x14ac:dyDescent="0.25">
      <c r="A17" t="s">
        <v>37</v>
      </c>
      <c r="B17" s="5">
        <f>E5</f>
        <v>0</v>
      </c>
      <c r="C17" s="5">
        <v>-1000</v>
      </c>
      <c r="E17" s="5"/>
      <c r="F17" s="5"/>
      <c r="I17" t="s">
        <v>44</v>
      </c>
      <c r="J17">
        <v>1800</v>
      </c>
    </row>
    <row r="18" spans="1:10" x14ac:dyDescent="0.25">
      <c r="A18" s="2" t="s">
        <v>7</v>
      </c>
      <c r="B18" s="3">
        <f>B13+B16+B17</f>
        <v>178847.39983599423</v>
      </c>
      <c r="C18" s="10">
        <f>C13+C16+C17+12*Sheet2!A51</f>
        <v>100233.59999999999</v>
      </c>
      <c r="D18" t="s">
        <v>26</v>
      </c>
      <c r="E18" s="5">
        <f>E15+B7</f>
        <v>416461</v>
      </c>
      <c r="F18" s="5">
        <f>-12*PMT(mrate/12,years*12,E18)</f>
        <v>94286.699835994223</v>
      </c>
      <c r="G18" t="s">
        <v>36</v>
      </c>
      <c r="J18">
        <f>SUM(J12:J17)</f>
        <v>-26365.714285714286</v>
      </c>
    </row>
    <row r="19" spans="1:10" x14ac:dyDescent="0.25">
      <c r="A19" s="2" t="s">
        <v>8</v>
      </c>
      <c r="B19" s="3">
        <f>B18/12</f>
        <v>14903.949986332853</v>
      </c>
      <c r="C19" s="3">
        <f>C18/12</f>
        <v>8352.7999999999993</v>
      </c>
      <c r="E19" s="5">
        <f>E15+C7</f>
        <v>580000</v>
      </c>
      <c r="F19" s="5">
        <f>1.39%*E19</f>
        <v>8061.9999999999991</v>
      </c>
    </row>
    <row r="20" spans="1:10" x14ac:dyDescent="0.25">
      <c r="A20" t="s">
        <v>9</v>
      </c>
      <c r="B20" s="1">
        <v>2800</v>
      </c>
      <c r="C20" s="1">
        <v>2800</v>
      </c>
      <c r="F20" s="8">
        <f>F19/12</f>
        <v>671.83333333333326</v>
      </c>
    </row>
    <row r="21" spans="1:10" x14ac:dyDescent="0.25">
      <c r="A21" t="s">
        <v>38</v>
      </c>
      <c r="B21" s="1">
        <f>B19-B20</f>
        <v>12103.949986332853</v>
      </c>
      <c r="C21" s="1">
        <f>C19-C20</f>
        <v>5552.7999999999993</v>
      </c>
    </row>
    <row r="22" spans="1:10" x14ac:dyDescent="0.25">
      <c r="A22" s="2"/>
      <c r="B22" s="3"/>
      <c r="G22" t="s">
        <v>52</v>
      </c>
      <c r="H22" s="6">
        <v>1.3899999999999999E-2</v>
      </c>
    </row>
    <row r="23" spans="1:10" x14ac:dyDescent="0.25">
      <c r="A23" t="s">
        <v>3</v>
      </c>
      <c r="D23" t="s">
        <v>61</v>
      </c>
      <c r="E23">
        <v>1400</v>
      </c>
      <c r="G23" t="s">
        <v>55</v>
      </c>
      <c r="H23" s="5">
        <f>H22*E19</f>
        <v>8061.9999999999991</v>
      </c>
    </row>
    <row r="24" spans="1:10" x14ac:dyDescent="0.25">
      <c r="A24" t="s">
        <v>4</v>
      </c>
      <c r="D24" t="s">
        <v>62</v>
      </c>
      <c r="E24">
        <f>E23*0.8-100</f>
        <v>1020</v>
      </c>
      <c r="G24" t="s">
        <v>56</v>
      </c>
      <c r="H24" s="8">
        <f>H23/12</f>
        <v>671.83333333333326</v>
      </c>
    </row>
    <row r="25" spans="1:10" x14ac:dyDescent="0.25">
      <c r="G25" t="s">
        <v>59</v>
      </c>
      <c r="H25" s="1" t="e">
        <f>C13+H23+E7</f>
        <v>#REF!</v>
      </c>
    </row>
    <row r="26" spans="1:10" x14ac:dyDescent="0.25">
      <c r="A26" s="2" t="s">
        <v>47</v>
      </c>
      <c r="C26">
        <v>80267.899999999994</v>
      </c>
      <c r="G26" t="s">
        <v>60</v>
      </c>
      <c r="H26" s="9" t="e">
        <f>H25/12</f>
        <v>#REF!</v>
      </c>
    </row>
    <row r="27" spans="1:10" x14ac:dyDescent="0.25">
      <c r="A27" t="s">
        <v>5</v>
      </c>
      <c r="B27" s="1">
        <f>80000/3</f>
        <v>26666.666666666668</v>
      </c>
      <c r="C27">
        <f>C26/3</f>
        <v>26755.966666666664</v>
      </c>
    </row>
    <row r="28" spans="1:10" x14ac:dyDescent="0.25">
      <c r="A28" t="s">
        <v>10</v>
      </c>
      <c r="B28" s="1" t="e">
        <f>#REF!/3</f>
        <v>#REF!</v>
      </c>
      <c r="C28" s="1" t="e">
        <f>#REF!/3</f>
        <v>#REF!</v>
      </c>
    </row>
    <row r="29" spans="1:10" s="2" customFormat="1" x14ac:dyDescent="0.25">
      <c r="A29" s="2" t="s">
        <v>6</v>
      </c>
      <c r="B29" s="3" t="e">
        <f>SUM(B27:B28)</f>
        <v>#REF!</v>
      </c>
      <c r="C29" s="3" t="e">
        <f>SUM(C27:C28)</f>
        <v>#REF!</v>
      </c>
      <c r="D29"/>
      <c r="E29"/>
    </row>
    <row r="30" spans="1:10" s="2" customFormat="1" x14ac:dyDescent="0.25">
      <c r="A30" s="2" t="s">
        <v>57</v>
      </c>
      <c r="B30" s="3"/>
      <c r="C30" s="3">
        <v>150000</v>
      </c>
      <c r="G30" s="2" t="s">
        <v>58</v>
      </c>
      <c r="H30" s="3" t="e">
        <f>C29+C30+E19</f>
        <v>#REF!</v>
      </c>
    </row>
    <row r="31" spans="1:10" x14ac:dyDescent="0.25">
      <c r="A31" t="s">
        <v>29</v>
      </c>
      <c r="B31" s="1">
        <f>E10+state+(3*defer*state)</f>
        <v>28643.3128</v>
      </c>
      <c r="C31" s="1">
        <f>state+(3*defer*state)</f>
        <v>8592.8127999999997</v>
      </c>
      <c r="D31" s="2"/>
      <c r="E31" s="2"/>
      <c r="F31" s="1">
        <v>6549.4</v>
      </c>
    </row>
    <row r="32" spans="1:10" x14ac:dyDescent="0.25">
      <c r="A32" t="s">
        <v>30</v>
      </c>
      <c r="B32" s="1">
        <f>E12+state+state*defer*5</f>
        <v>39259.087999999996</v>
      </c>
      <c r="C32" s="1">
        <f>state+state*defer*5</f>
        <v>9955.0879999999997</v>
      </c>
      <c r="E32" s="4" t="s">
        <v>12</v>
      </c>
      <c r="F32">
        <v>0.104</v>
      </c>
    </row>
    <row r="33" spans="1:8" x14ac:dyDescent="0.25">
      <c r="A33" s="2" t="s">
        <v>11</v>
      </c>
      <c r="B33" s="3">
        <f>SUM(B31:B32)</f>
        <v>67902.400800000003</v>
      </c>
      <c r="C33" s="3">
        <f>SUM(C31:C32)</f>
        <v>18547.900799999999</v>
      </c>
      <c r="D33" t="s">
        <v>45</v>
      </c>
      <c r="E33" s="4" t="s">
        <v>13</v>
      </c>
    </row>
    <row r="35" spans="1:8" x14ac:dyDescent="0.25">
      <c r="A35" t="s">
        <v>17</v>
      </c>
      <c r="B35" s="1">
        <f>B33-2*allowance</f>
        <v>44202.400800000003</v>
      </c>
      <c r="C35" s="1">
        <v>0</v>
      </c>
      <c r="F35" s="1">
        <v>11850</v>
      </c>
    </row>
    <row r="36" spans="1:8" x14ac:dyDescent="0.25">
      <c r="A36" s="2" t="s">
        <v>14</v>
      </c>
      <c r="B36" s="3">
        <f>B33-(B35*rate)</f>
        <v>59061.920640000004</v>
      </c>
      <c r="C36" s="10">
        <f>C33+((E12+J10)*0.8)+12*E24</f>
        <v>67063.420799999993</v>
      </c>
      <c r="D36" t="s">
        <v>48</v>
      </c>
      <c r="E36" s="4" t="s">
        <v>15</v>
      </c>
      <c r="F36">
        <v>0.2</v>
      </c>
    </row>
    <row r="37" spans="1:8" x14ac:dyDescent="0.25">
      <c r="A37" t="s">
        <v>31</v>
      </c>
      <c r="B37" s="1">
        <f>B36/12</f>
        <v>4921.82672</v>
      </c>
      <c r="C37" s="1">
        <f>C36/12</f>
        <v>5588.6183999999994</v>
      </c>
      <c r="E37" s="4" t="s">
        <v>16</v>
      </c>
    </row>
    <row r="38" spans="1:8" x14ac:dyDescent="0.25">
      <c r="A38" s="2" t="s">
        <v>46</v>
      </c>
      <c r="B38" s="3">
        <f>B37+(B16+B17)/12</f>
        <v>12779.051706332852</v>
      </c>
      <c r="C38" s="3">
        <f>C37+(C16+C17)/12</f>
        <v>6177.1183999999994</v>
      </c>
      <c r="H38" s="10">
        <f>C37+H24</f>
        <v>6260.4517333333324</v>
      </c>
    </row>
    <row r="40" spans="1:8" x14ac:dyDescent="0.25">
      <c r="A40" t="s">
        <v>34</v>
      </c>
    </row>
    <row r="41" spans="1:8" x14ac:dyDescent="0.25">
      <c r="A41" t="s">
        <v>49</v>
      </c>
    </row>
    <row r="42" spans="1:8" x14ac:dyDescent="0.25">
      <c r="A42" t="s">
        <v>50</v>
      </c>
    </row>
    <row r="44" spans="1:8" x14ac:dyDescent="0.25">
      <c r="A44" s="2" t="s">
        <v>63</v>
      </c>
    </row>
    <row r="45" spans="1:8" x14ac:dyDescent="0.25">
      <c r="A45" t="s">
        <v>64</v>
      </c>
      <c r="B45" s="1">
        <f>31063.77</f>
        <v>31063.77</v>
      </c>
    </row>
    <row r="46" spans="1:8" x14ac:dyDescent="0.25">
      <c r="A46" t="s">
        <v>65</v>
      </c>
      <c r="B46" s="1">
        <f>B45</f>
        <v>31063.77</v>
      </c>
    </row>
    <row r="47" spans="1:8" x14ac:dyDescent="0.25">
      <c r="A47" t="s">
        <v>70</v>
      </c>
      <c r="B47" s="1">
        <v>10960</v>
      </c>
    </row>
    <row r="48" spans="1:8" x14ac:dyDescent="0.25">
      <c r="A48" t="s">
        <v>71</v>
      </c>
      <c r="B48" s="1">
        <v>10960</v>
      </c>
    </row>
    <row r="49" spans="1:4" x14ac:dyDescent="0.25">
      <c r="A49" t="s">
        <v>66</v>
      </c>
      <c r="C49">
        <v>10353.09</v>
      </c>
      <c r="D49" s="31" t="s">
        <v>68</v>
      </c>
    </row>
    <row r="50" spans="1:4" x14ac:dyDescent="0.25">
      <c r="A50" t="s">
        <v>67</v>
      </c>
      <c r="C50">
        <f>C49</f>
        <v>10353.09</v>
      </c>
      <c r="D50" s="31"/>
    </row>
  </sheetData>
  <mergeCells count="1">
    <mergeCell ref="D49:D5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39"/>
  <sheetViews>
    <sheetView tabSelected="1" topLeftCell="A99" workbookViewId="0">
      <selection activeCell="O120" sqref="O120"/>
    </sheetView>
  </sheetViews>
  <sheetFormatPr defaultRowHeight="15.75" x14ac:dyDescent="0.25"/>
  <cols>
    <col min="1" max="1" width="10.875" bestFit="1" customWidth="1"/>
    <col min="2" max="2" width="10.75" bestFit="1" customWidth="1"/>
    <col min="3" max="3" width="11.75" customWidth="1"/>
    <col min="4" max="4" width="10.875" customWidth="1"/>
    <col min="5" max="5" width="10.75" bestFit="1" customWidth="1"/>
    <col min="6" max="6" width="10.625" customWidth="1"/>
    <col min="7" max="7" width="10.75" customWidth="1"/>
    <col min="8" max="8" width="10.625" customWidth="1"/>
    <col min="9" max="9" width="7.5" customWidth="1"/>
    <col min="10" max="10" width="12.75" customWidth="1"/>
    <col min="11" max="11" width="9.875" customWidth="1"/>
    <col min="12" max="12" width="10.625" customWidth="1"/>
    <col min="13" max="13" width="8" customWidth="1"/>
    <col min="14" max="14" width="7.75" customWidth="1"/>
    <col min="15" max="18" width="10.875" bestFit="1" customWidth="1"/>
    <col min="19" max="19" width="12.125" customWidth="1"/>
    <col min="20" max="20" width="12.25" customWidth="1"/>
    <col min="21" max="21" width="12" customWidth="1"/>
    <col min="22" max="22" width="11.375" customWidth="1"/>
  </cols>
  <sheetData>
    <row r="1" spans="1:15" ht="18.75" x14ac:dyDescent="0.3">
      <c r="A1" s="32" t="s">
        <v>120</v>
      </c>
      <c r="B1" s="32"/>
      <c r="C1" s="32"/>
      <c r="D1" s="32"/>
      <c r="E1" s="32"/>
      <c r="F1" s="32"/>
    </row>
    <row r="2" spans="1:15" x14ac:dyDescent="0.25">
      <c r="A2" s="33" t="s">
        <v>121</v>
      </c>
      <c r="B2" s="33"/>
      <c r="C2" s="33"/>
      <c r="D2" s="33"/>
      <c r="E2" s="33"/>
      <c r="F2" s="33"/>
    </row>
    <row r="3" spans="1:15" x14ac:dyDescent="0.25">
      <c r="A3" s="2" t="s">
        <v>73</v>
      </c>
      <c r="B3" s="12" t="s">
        <v>72</v>
      </c>
      <c r="C3" s="18"/>
      <c r="D3" s="2" t="s">
        <v>118</v>
      </c>
    </row>
    <row r="4" spans="1:15" x14ac:dyDescent="0.25">
      <c r="A4" s="11">
        <v>350000</v>
      </c>
      <c r="B4" s="13" t="s">
        <v>132</v>
      </c>
      <c r="C4" s="19">
        <v>480</v>
      </c>
      <c r="D4" s="11">
        <v>200000</v>
      </c>
      <c r="E4" s="11" t="s">
        <v>116</v>
      </c>
      <c r="G4" s="11"/>
      <c r="H4" s="11"/>
      <c r="I4" s="11"/>
      <c r="M4" s="11"/>
      <c r="N4" s="11"/>
    </row>
    <row r="5" spans="1:15" x14ac:dyDescent="0.25">
      <c r="A5" s="11"/>
      <c r="B5" s="13" t="s">
        <v>133</v>
      </c>
      <c r="C5" s="19">
        <v>60</v>
      </c>
      <c r="D5" s="11">
        <v>65028.95</v>
      </c>
      <c r="E5" t="s">
        <v>71</v>
      </c>
      <c r="F5" t="s">
        <v>122</v>
      </c>
      <c r="G5">
        <v>3901011738</v>
      </c>
      <c r="H5" s="4" t="s">
        <v>123</v>
      </c>
      <c r="I5" s="11"/>
      <c r="M5" s="11"/>
      <c r="N5" s="11"/>
    </row>
    <row r="6" spans="1:15" x14ac:dyDescent="0.25">
      <c r="A6" s="11"/>
      <c r="B6" s="13" t="s">
        <v>115</v>
      </c>
      <c r="C6" s="19">
        <f>8%*Sale_price</f>
        <v>28000</v>
      </c>
      <c r="D6" s="11">
        <v>2091.7399999999998</v>
      </c>
      <c r="E6" t="s">
        <v>70</v>
      </c>
      <c r="F6" t="s">
        <v>122</v>
      </c>
      <c r="G6">
        <v>3901011716</v>
      </c>
      <c r="H6" s="4" t="s">
        <v>123</v>
      </c>
      <c r="I6" s="11"/>
      <c r="J6" s="11" t="s">
        <v>146</v>
      </c>
      <c r="K6" s="11"/>
      <c r="L6" s="6">
        <v>5.0000000000000001E-3</v>
      </c>
      <c r="M6" s="11"/>
      <c r="N6" s="11"/>
    </row>
    <row r="7" spans="1:15" x14ac:dyDescent="0.25">
      <c r="A7" s="11"/>
      <c r="B7" s="13" t="s">
        <v>129</v>
      </c>
      <c r="C7" s="19">
        <v>250</v>
      </c>
      <c r="D7" s="11">
        <v>22030.11</v>
      </c>
      <c r="E7" t="s">
        <v>124</v>
      </c>
      <c r="F7" t="s">
        <v>122</v>
      </c>
      <c r="G7" s="28">
        <v>923763564</v>
      </c>
      <c r="H7" t="s">
        <v>125</v>
      </c>
      <c r="I7" s="11"/>
      <c r="J7" s="11" t="s">
        <v>136</v>
      </c>
      <c r="K7" s="11"/>
      <c r="L7" s="6">
        <v>8.5000000000000006E-3</v>
      </c>
      <c r="M7" s="11"/>
      <c r="N7" s="11"/>
    </row>
    <row r="8" spans="1:15" x14ac:dyDescent="0.25">
      <c r="A8" s="11"/>
      <c r="B8" s="13" t="s">
        <v>43</v>
      </c>
      <c r="C8" s="19">
        <v>30</v>
      </c>
      <c r="D8" s="11">
        <v>25709.38</v>
      </c>
      <c r="E8" t="s">
        <v>126</v>
      </c>
      <c r="F8" t="s">
        <v>122</v>
      </c>
      <c r="G8" s="30">
        <v>20689470</v>
      </c>
      <c r="H8" s="4" t="s">
        <v>127</v>
      </c>
      <c r="I8" s="11"/>
      <c r="J8" s="11" t="s">
        <v>137</v>
      </c>
      <c r="K8" s="11"/>
      <c r="L8" s="6">
        <f>E110+L7</f>
        <v>4.8500000000000001E-2</v>
      </c>
      <c r="M8" s="11" t="s">
        <v>145</v>
      </c>
      <c r="N8" s="11"/>
    </row>
    <row r="9" spans="1:15" x14ac:dyDescent="0.25">
      <c r="A9" s="11"/>
      <c r="B9" s="13" t="s">
        <v>89</v>
      </c>
      <c r="C9" s="25">
        <v>1499</v>
      </c>
      <c r="D9" s="11">
        <v>37550.870000000003</v>
      </c>
      <c r="E9" t="s">
        <v>128</v>
      </c>
      <c r="F9" t="s">
        <v>122</v>
      </c>
      <c r="G9" s="30">
        <v>20689489</v>
      </c>
      <c r="H9" s="4" t="s">
        <v>127</v>
      </c>
      <c r="I9" s="11"/>
      <c r="J9" s="11" t="s">
        <v>163</v>
      </c>
      <c r="K9" s="11"/>
      <c r="L9" s="6"/>
      <c r="M9" s="11"/>
      <c r="N9" s="11"/>
    </row>
    <row r="10" spans="1:15" x14ac:dyDescent="0.25">
      <c r="A10" s="11"/>
      <c r="B10" s="13" t="s">
        <v>90</v>
      </c>
      <c r="C10" s="25">
        <v>20</v>
      </c>
      <c r="D10" s="11">
        <v>11127.95</v>
      </c>
      <c r="E10" t="s">
        <v>128</v>
      </c>
      <c r="F10" t="s">
        <v>118</v>
      </c>
      <c r="G10" s="28">
        <v>22246088</v>
      </c>
      <c r="H10" s="4" t="s">
        <v>127</v>
      </c>
      <c r="I10" s="11"/>
    </row>
    <row r="11" spans="1:15" x14ac:dyDescent="0.25">
      <c r="A11" s="11"/>
      <c r="B11" s="13" t="s">
        <v>130</v>
      </c>
      <c r="C11" s="25">
        <v>700</v>
      </c>
      <c r="D11" s="11"/>
      <c r="E11" s="6"/>
      <c r="F11" s="11"/>
      <c r="G11" s="11"/>
      <c r="H11" s="11"/>
      <c r="I11" s="11"/>
      <c r="O11" t="s">
        <v>142</v>
      </c>
    </row>
    <row r="12" spans="1:15" ht="16.5" thickBot="1" x14ac:dyDescent="0.3">
      <c r="A12" s="11"/>
      <c r="B12" s="14" t="s">
        <v>131</v>
      </c>
      <c r="C12" s="15">
        <v>2500</v>
      </c>
      <c r="D12" s="20">
        <v>0</v>
      </c>
      <c r="E12" s="21" t="s">
        <v>75</v>
      </c>
      <c r="F12" s="11"/>
      <c r="G12" s="11"/>
      <c r="H12" s="11"/>
      <c r="I12" s="11"/>
      <c r="O12" t="s">
        <v>143</v>
      </c>
    </row>
    <row r="13" spans="1:15" x14ac:dyDescent="0.25">
      <c r="A13" s="11"/>
      <c r="B13" s="16" t="s">
        <v>74</v>
      </c>
      <c r="C13" s="17">
        <f>SUM(C4:C12)</f>
        <v>33539</v>
      </c>
      <c r="D13" s="22">
        <f>SUM(D5:D12)</f>
        <v>163539.00000000003</v>
      </c>
      <c r="E13" s="2" t="s">
        <v>74</v>
      </c>
      <c r="F13" s="11"/>
      <c r="G13" s="11"/>
      <c r="H13" s="11"/>
      <c r="I13" s="11"/>
    </row>
    <row r="14" spans="1:15" x14ac:dyDescent="0.25">
      <c r="A14" s="11"/>
      <c r="B14" s="11"/>
      <c r="C14" s="11"/>
      <c r="D14" s="3"/>
      <c r="E14" s="11"/>
      <c r="F14" s="11"/>
      <c r="G14" s="11"/>
      <c r="H14" s="11"/>
      <c r="I14" s="11"/>
    </row>
    <row r="15" spans="1:15" x14ac:dyDescent="0.25">
      <c r="A15" s="11">
        <f>-Sale_price</f>
        <v>-350000</v>
      </c>
      <c r="B15" s="11" t="s">
        <v>76</v>
      </c>
      <c r="C15" s="11"/>
      <c r="D15" s="11">
        <f>32787.64-D6</f>
        <v>30695.9</v>
      </c>
      <c r="E15" t="s">
        <v>70</v>
      </c>
      <c r="F15" t="s">
        <v>122</v>
      </c>
      <c r="G15">
        <v>3901011716</v>
      </c>
      <c r="H15" s="4" t="s">
        <v>123</v>
      </c>
      <c r="I15" s="11"/>
    </row>
    <row r="16" spans="1:15" ht="15.75" customHeight="1" x14ac:dyDescent="0.25">
      <c r="A16" s="11">
        <f>-C13</f>
        <v>-33539</v>
      </c>
      <c r="B16" s="11" t="s">
        <v>79</v>
      </c>
      <c r="C16" s="11"/>
      <c r="D16" s="11"/>
      <c r="F16" s="11"/>
      <c r="G16" s="11"/>
      <c r="H16" s="11"/>
      <c r="I16" s="11"/>
    </row>
    <row r="17" spans="1:14" ht="16.5" customHeight="1" thickBot="1" x14ac:dyDescent="0.3">
      <c r="A17" s="20">
        <f>D13</f>
        <v>163539.00000000003</v>
      </c>
      <c r="B17" s="20" t="s">
        <v>77</v>
      </c>
      <c r="C17" s="11">
        <f>A17+20000</f>
        <v>183539.00000000003</v>
      </c>
      <c r="D17" s="11">
        <v>283539</v>
      </c>
      <c r="E17" s="2" t="s">
        <v>139</v>
      </c>
      <c r="G17" s="11"/>
      <c r="H17" s="11"/>
      <c r="I17" s="11"/>
    </row>
    <row r="18" spans="1:14" x14ac:dyDescent="0.25">
      <c r="A18" s="22">
        <f>SUM(A15:A17)</f>
        <v>-219999.99999999997</v>
      </c>
      <c r="B18" s="22" t="s">
        <v>78</v>
      </c>
      <c r="C18" s="11">
        <f>A15+A16+C17</f>
        <v>-199999.99999999997</v>
      </c>
      <c r="D18" s="11">
        <f>C18/2</f>
        <v>-99999.999999999985</v>
      </c>
      <c r="E18" s="11" t="s">
        <v>138</v>
      </c>
      <c r="F18">
        <v>100000</v>
      </c>
      <c r="G18" s="11">
        <v>485</v>
      </c>
      <c r="H18" s="6">
        <f>(G18/31)*365/F18</f>
        <v>5.7104838709677412E-2</v>
      </c>
      <c r="I18" s="11"/>
    </row>
    <row r="19" spans="1:14" ht="16.5" thickBot="1" x14ac:dyDescent="0.3">
      <c r="A19" s="23">
        <f>-A18/1000000</f>
        <v>0.21999999999999997</v>
      </c>
      <c r="B19" s="11" t="s">
        <v>140</v>
      </c>
      <c r="C19" s="11"/>
      <c r="D19" s="11"/>
      <c r="E19" s="11" t="s">
        <v>141</v>
      </c>
      <c r="F19">
        <v>120000</v>
      </c>
      <c r="G19" s="11">
        <v>531</v>
      </c>
      <c r="H19" s="6">
        <f>(G19/31)*365/F19</f>
        <v>5.2100806451612899E-2</v>
      </c>
      <c r="I19" s="11"/>
    </row>
    <row r="20" spans="1:14" x14ac:dyDescent="0.25">
      <c r="A20" s="6"/>
      <c r="B20" s="11" t="s">
        <v>147</v>
      </c>
      <c r="C20" s="6">
        <f>3%</f>
        <v>0.03</v>
      </c>
      <c r="D20" s="11"/>
      <c r="E20" s="11"/>
      <c r="F20" s="11"/>
      <c r="G20" s="11">
        <f>SUM(G18:G19)</f>
        <v>1016</v>
      </c>
      <c r="H20" s="11"/>
      <c r="I20" s="11"/>
    </row>
    <row r="21" spans="1:14" x14ac:dyDescent="0.25">
      <c r="A21" s="6"/>
      <c r="B21" s="11" t="s">
        <v>153</v>
      </c>
      <c r="C21" s="11">
        <f>83000</f>
        <v>83000</v>
      </c>
      <c r="D21" s="11">
        <f>C21</f>
        <v>83000</v>
      </c>
      <c r="E21" s="11"/>
      <c r="F21">
        <v>100000</v>
      </c>
      <c r="G21" s="11">
        <f>F21*offset*31/365</f>
        <v>485</v>
      </c>
      <c r="H21" s="6">
        <f>(G21/31)*365/F21</f>
        <v>5.7104838709677412E-2</v>
      </c>
      <c r="I21" s="11"/>
    </row>
    <row r="22" spans="1:14" x14ac:dyDescent="0.25">
      <c r="A22" s="11">
        <f>A17*(avg_int/12)</f>
        <v>408.84750000000008</v>
      </c>
      <c r="B22" s="11" t="s">
        <v>148</v>
      </c>
      <c r="C22" s="11">
        <f>C17*(avg_int/12)</f>
        <v>458.84750000000008</v>
      </c>
      <c r="D22" s="11">
        <f>D17*(avg_int/12)</f>
        <v>708.84749999999997</v>
      </c>
      <c r="E22" s="11"/>
      <c r="F22">
        <v>100000</v>
      </c>
      <c r="G22" s="11">
        <f>F22*normal*31/365</f>
        <v>442.49999999999994</v>
      </c>
      <c r="H22" s="6">
        <f>(G22/31)*365/F22</f>
        <v>5.2100806451612899E-2</v>
      </c>
      <c r="I22" s="11"/>
    </row>
    <row r="23" spans="1:14" x14ac:dyDescent="0.25">
      <c r="A23" s="11">
        <f>A$22*12</f>
        <v>4906.170000000001</v>
      </c>
      <c r="B23" s="11" t="s">
        <v>150</v>
      </c>
      <c r="C23" s="11">
        <f>C$22*12</f>
        <v>5506.170000000001</v>
      </c>
      <c r="D23" s="11">
        <f>D$22*12</f>
        <v>8506.17</v>
      </c>
      <c r="E23" s="11"/>
      <c r="F23" s="11"/>
      <c r="G23" s="11">
        <f>SUM(G21:G22)</f>
        <v>927.5</v>
      </c>
      <c r="H23" s="11"/>
      <c r="I23" s="11"/>
    </row>
    <row r="24" spans="1:14" x14ac:dyDescent="0.25">
      <c r="A24" s="11">
        <f t="shared" ref="A24:D24" si="0">A$22*12</f>
        <v>4906.170000000001</v>
      </c>
      <c r="B24" s="11" t="s">
        <v>151</v>
      </c>
      <c r="C24" s="11">
        <f t="shared" si="0"/>
        <v>5506.170000000001</v>
      </c>
      <c r="D24" s="11">
        <f t="shared" si="0"/>
        <v>8506.17</v>
      </c>
      <c r="E24" s="11"/>
      <c r="F24">
        <v>50000</v>
      </c>
      <c r="G24" s="11">
        <f>F24*offset*31/365</f>
        <v>242.5</v>
      </c>
      <c r="H24" s="6">
        <f>(G24/31)*365/F24</f>
        <v>5.7104838709677412E-2</v>
      </c>
      <c r="I24" s="11"/>
    </row>
    <row r="25" spans="1:14" x14ac:dyDescent="0.25">
      <c r="A25" s="11">
        <f>(A17-C21)*(avg_int/12)*12</f>
        <v>2416.170000000001</v>
      </c>
      <c r="B25" s="11" t="s">
        <v>152</v>
      </c>
      <c r="C25" s="11">
        <f>(C17-C21)*(avg_int/12)*12</f>
        <v>3016.170000000001</v>
      </c>
      <c r="D25" s="11">
        <f>(D17-D21)*(avg_int/12)*12</f>
        <v>6016.17</v>
      </c>
      <c r="E25" s="11"/>
      <c r="F25">
        <v>150000</v>
      </c>
      <c r="G25" s="11">
        <f>F25*normal*31/365</f>
        <v>663.74999999999989</v>
      </c>
      <c r="H25" s="6">
        <f>(G25/31)*365/F25</f>
        <v>5.2100806451612892E-2</v>
      </c>
      <c r="I25" s="11"/>
    </row>
    <row r="26" spans="1:14" x14ac:dyDescent="0.25">
      <c r="A26" s="6"/>
      <c r="B26" s="11"/>
      <c r="C26" s="11"/>
      <c r="D26" s="11"/>
      <c r="E26" s="11"/>
      <c r="F26" s="11"/>
      <c r="G26" s="11">
        <f>SUM(G24:G25)</f>
        <v>906.24999999999989</v>
      </c>
      <c r="H26" s="11"/>
      <c r="I26" s="11"/>
    </row>
    <row r="27" spans="1:14" x14ac:dyDescent="0.25">
      <c r="A27" s="6"/>
      <c r="B27" s="11"/>
      <c r="C27" s="11"/>
      <c r="D27" s="11"/>
      <c r="E27" s="11"/>
      <c r="F27" s="11"/>
      <c r="G27" s="11"/>
      <c r="H27" s="11"/>
      <c r="I27" s="11"/>
    </row>
    <row r="28" spans="1:14" x14ac:dyDescent="0.25">
      <c r="A28" s="6"/>
      <c r="B28" s="11"/>
      <c r="C28" s="11"/>
      <c r="D28" s="11"/>
      <c r="E28" s="22" t="s">
        <v>144</v>
      </c>
      <c r="F28" s="11"/>
      <c r="G28" s="11"/>
      <c r="H28" s="11"/>
      <c r="I28" s="11"/>
      <c r="J28" t="s">
        <v>154</v>
      </c>
      <c r="L28" t="s">
        <v>155</v>
      </c>
    </row>
    <row r="29" spans="1:14" x14ac:dyDescent="0.25">
      <c r="A29" s="6"/>
      <c r="B29" s="11"/>
      <c r="C29" s="11"/>
      <c r="D29" s="11"/>
      <c r="E29" s="11" t="s">
        <v>143</v>
      </c>
      <c r="F29" s="11">
        <v>220000</v>
      </c>
      <c r="G29" s="11">
        <f>F29*vanilla*31/365</f>
        <v>906.21917808219177</v>
      </c>
      <c r="H29" s="6">
        <f>vanilla</f>
        <v>4.8500000000000001E-2</v>
      </c>
      <c r="I29" s="11"/>
      <c r="J29" s="11">
        <f>-(12*$G$29)-$A23</f>
        <v>-15780.800136986301</v>
      </c>
      <c r="K29" s="11"/>
      <c r="L29" s="11">
        <f>J29-(12*$G$29)-$A24</f>
        <v>-31561.600273972606</v>
      </c>
      <c r="M29" s="11">
        <f>L29-$F$29</f>
        <v>-251561.60027397261</v>
      </c>
    </row>
    <row r="30" spans="1:14" x14ac:dyDescent="0.25">
      <c r="A30" s="6"/>
      <c r="B30" s="11"/>
      <c r="C30" s="11"/>
      <c r="D30" s="11"/>
      <c r="E30" s="11" t="s">
        <v>156</v>
      </c>
      <c r="F30" s="11"/>
      <c r="G30" s="11"/>
      <c r="H30" s="11"/>
      <c r="I30" s="11"/>
      <c r="J30" s="11">
        <f>-(12*$G$29)-$A24</f>
        <v>-15780.800136986301</v>
      </c>
      <c r="K30" s="11"/>
      <c r="L30" s="11">
        <f>J30-(12*$G$29)-$A25</f>
        <v>-29071.600273972606</v>
      </c>
      <c r="M30" s="11">
        <f>L30-$F$29</f>
        <v>-249071.60027397261</v>
      </c>
      <c r="N30" s="11"/>
    </row>
    <row r="31" spans="1:14" x14ac:dyDescent="0.25">
      <c r="A31" s="6"/>
      <c r="B31" s="11"/>
      <c r="C31" s="11"/>
      <c r="D31" s="11"/>
      <c r="E31" s="11" t="s">
        <v>143</v>
      </c>
      <c r="F31" s="11">
        <v>180000</v>
      </c>
      <c r="G31" s="11">
        <f>F31*vanilla*31/365</f>
        <v>741.45205479452056</v>
      </c>
      <c r="H31" s="6">
        <f>vanilla</f>
        <v>4.8500000000000001E-2</v>
      </c>
      <c r="I31" s="11"/>
      <c r="J31" s="11">
        <f>-(12*$G$31)-$C23</f>
        <v>-14403.59465753425</v>
      </c>
      <c r="K31" s="11"/>
      <c r="L31" s="11">
        <f>J31-(12*$G$31)-$A24</f>
        <v>-28207.189315068499</v>
      </c>
      <c r="M31" s="11">
        <f>L31-$F$31</f>
        <v>-208207.18931506851</v>
      </c>
      <c r="N31" s="11"/>
    </row>
    <row r="32" spans="1:14" x14ac:dyDescent="0.25">
      <c r="A32" s="6"/>
      <c r="B32" s="11"/>
      <c r="C32" s="11"/>
      <c r="D32" s="11"/>
      <c r="E32" s="11" t="s">
        <v>156</v>
      </c>
      <c r="F32" s="11"/>
      <c r="G32" s="11"/>
      <c r="H32" s="11"/>
      <c r="I32" s="11"/>
      <c r="J32" s="11">
        <f>-(12*$G$31)-$C24</f>
        <v>-14403.59465753425</v>
      </c>
      <c r="K32" s="11"/>
      <c r="L32" s="11">
        <f>J32-(12*$G$31)-$A25</f>
        <v>-25717.189315068499</v>
      </c>
      <c r="M32" s="11">
        <f>L32-$F$31</f>
        <v>-205717.18931506851</v>
      </c>
      <c r="N32" s="11"/>
    </row>
    <row r="33" spans="1:14" x14ac:dyDescent="0.25">
      <c r="A33" s="6"/>
      <c r="B33" s="11"/>
      <c r="C33" s="11"/>
      <c r="D33" s="11"/>
      <c r="E33" s="11" t="s">
        <v>143</v>
      </c>
      <c r="F33" s="11">
        <v>100000</v>
      </c>
      <c r="G33" s="11">
        <f>F33*vanilla*31/365</f>
        <v>411.91780821917808</v>
      </c>
      <c r="H33" s="6">
        <f>vanilla</f>
        <v>4.8500000000000001E-2</v>
      </c>
      <c r="I33" s="11"/>
      <c r="J33" s="11">
        <f>-(12*$G$33)-$D23</f>
        <v>-13449.183698630137</v>
      </c>
      <c r="K33" s="11"/>
      <c r="L33" s="11">
        <f>J33-(12*$G$33)-$D24</f>
        <v>-26898.36739726027</v>
      </c>
      <c r="M33" s="11">
        <f>L33-$F$33</f>
        <v>-126898.36739726027</v>
      </c>
      <c r="N33" s="11"/>
    </row>
    <row r="34" spans="1:14" x14ac:dyDescent="0.25">
      <c r="A34" s="6"/>
      <c r="B34" s="11"/>
      <c r="C34" s="11"/>
      <c r="D34" s="11"/>
      <c r="E34" s="11" t="s">
        <v>156</v>
      </c>
      <c r="F34" s="11"/>
      <c r="G34" s="11"/>
      <c r="H34" s="11"/>
      <c r="I34" s="11"/>
      <c r="J34" s="11">
        <f>-(12*$G$31)-$C26</f>
        <v>-8897.4246575342477</v>
      </c>
      <c r="K34" s="11"/>
      <c r="L34" s="11">
        <f>J34-(12*$G$31)-$A27</f>
        <v>-17794.849315068495</v>
      </c>
      <c r="M34" s="11">
        <f>L34-$F$31</f>
        <v>-197794.84931506851</v>
      </c>
      <c r="N34" s="11"/>
    </row>
    <row r="35" spans="1:14" x14ac:dyDescent="0.25">
      <c r="A35" s="6"/>
      <c r="B35" s="11"/>
      <c r="C35" s="11"/>
      <c r="D35" s="11"/>
      <c r="E35" s="11" t="s">
        <v>149</v>
      </c>
      <c r="F35" s="11">
        <v>220000</v>
      </c>
      <c r="G35" s="11">
        <f>F35*H35*31/365</f>
        <v>999.64383561643831</v>
      </c>
      <c r="H35" s="6" cm="1">
        <f t="array" ref="H35">vanilla+off_incr</f>
        <v>5.3499999999999999E-2</v>
      </c>
      <c r="I35" s="11"/>
      <c r="J35" s="11">
        <f>-A$23-G35*12</f>
        <v>-16901.896027397263</v>
      </c>
      <c r="K35" s="11"/>
      <c r="L35" s="11">
        <f>J35-((12*G35)+A$24)</f>
        <v>-33803.792054794525</v>
      </c>
      <c r="M35" s="11">
        <f>L35-F35</f>
        <v>-253803.79205479453</v>
      </c>
      <c r="N35" s="11"/>
    </row>
    <row r="36" spans="1:14" x14ac:dyDescent="0.25">
      <c r="A36" s="6"/>
      <c r="B36" s="11"/>
      <c r="C36" s="11"/>
      <c r="D36" s="11"/>
      <c r="E36" s="11" t="s">
        <v>157</v>
      </c>
      <c r="F36" s="11">
        <f>avg_int*F35/2</f>
        <v>3300</v>
      </c>
      <c r="G36" s="11">
        <f>G35/2</f>
        <v>499.82191780821915</v>
      </c>
      <c r="H36" s="11"/>
      <c r="I36" s="11"/>
      <c r="J36" s="11">
        <f>-A$23-F36-G36*12</f>
        <v>-14204.033013698632</v>
      </c>
      <c r="K36" s="11"/>
      <c r="L36" s="11">
        <f>J36-F36-((12*G36)+A$24)</f>
        <v>-28408.066027397261</v>
      </c>
      <c r="M36" s="11">
        <f>L36-F35/2</f>
        <v>-138408.06602739726</v>
      </c>
      <c r="N36" s="11"/>
    </row>
    <row r="37" spans="1:14" x14ac:dyDescent="0.25">
      <c r="A37" s="6"/>
      <c r="B37" s="11"/>
      <c r="C37" s="11"/>
      <c r="D37" s="11"/>
      <c r="E37" s="11" t="s">
        <v>149</v>
      </c>
      <c r="F37" s="11">
        <v>200000</v>
      </c>
      <c r="G37" s="11">
        <f>F37*H37*31/365</f>
        <v>908.76712328767121</v>
      </c>
      <c r="H37" s="6" cm="1">
        <f t="array" ref="H37">vanilla+off_incr</f>
        <v>5.3499999999999999E-2</v>
      </c>
      <c r="I37" s="11"/>
      <c r="J37" s="11"/>
      <c r="K37" s="11"/>
      <c r="L37" s="11"/>
      <c r="M37" s="11"/>
      <c r="N37" s="11"/>
    </row>
    <row r="38" spans="1:14" x14ac:dyDescent="0.25">
      <c r="A38" s="6"/>
      <c r="B38" s="11"/>
      <c r="C38" s="11"/>
      <c r="D38" s="11"/>
      <c r="E38" s="11" t="s">
        <v>157</v>
      </c>
      <c r="F38" s="11"/>
      <c r="G38" s="11">
        <f>G37/2</f>
        <v>454.38356164383561</v>
      </c>
      <c r="H38" s="11"/>
      <c r="I38" s="11"/>
      <c r="J38" s="11"/>
      <c r="K38" s="11"/>
      <c r="L38" s="11"/>
      <c r="M38" s="11"/>
      <c r="N38" s="11"/>
    </row>
    <row r="39" spans="1:14" x14ac:dyDescent="0.25">
      <c r="A39" s="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x14ac:dyDescent="0.25">
      <c r="A40" s="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x14ac:dyDescent="0.25">
      <c r="A41" s="6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x14ac:dyDescent="0.25">
      <c r="A42" s="6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x14ac:dyDescent="0.25">
      <c r="A43" s="6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x14ac:dyDescent="0.25">
      <c r="A44" s="22" t="s">
        <v>60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x14ac:dyDescent="0.25">
      <c r="A45" s="11">
        <f>A$18*B45/12</f>
        <v>-733.33333333333314</v>
      </c>
      <c r="B45" s="6">
        <v>0.04</v>
      </c>
      <c r="C45" s="11" t="s">
        <v>80</v>
      </c>
      <c r="D45" s="11"/>
      <c r="E45" s="11"/>
      <c r="F45" s="11"/>
      <c r="G45" s="11"/>
      <c r="H45" s="11"/>
      <c r="I45" s="11"/>
      <c r="J45" s="24"/>
      <c r="K45" s="24"/>
      <c r="L45" s="11"/>
      <c r="M45" s="11"/>
      <c r="N45" s="11"/>
    </row>
    <row r="46" spans="1:14" x14ac:dyDescent="0.25">
      <c r="A46" s="11">
        <f>-B46/12</f>
        <v>-12.5</v>
      </c>
      <c r="B46" s="11">
        <v>150</v>
      </c>
      <c r="C46" s="11" t="s">
        <v>93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x14ac:dyDescent="0.25">
      <c r="A47" s="11">
        <f>-B47*A48</f>
        <v>-110</v>
      </c>
      <c r="B47" s="11">
        <v>0.1</v>
      </c>
      <c r="C47" s="11" t="s">
        <v>92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x14ac:dyDescent="0.25">
      <c r="A48" s="11">
        <f>B48</f>
        <v>1100</v>
      </c>
      <c r="B48" s="11">
        <v>1100</v>
      </c>
      <c r="C48" s="11" t="s">
        <v>119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x14ac:dyDescent="0.25">
      <c r="A49" s="11">
        <f>-B49/12</f>
        <v>-416.66666666666669</v>
      </c>
      <c r="B49" s="11">
        <v>5000</v>
      </c>
      <c r="C49" s="11" t="s">
        <v>117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6.5" thickBot="1" x14ac:dyDescent="0.3">
      <c r="A50" s="20">
        <f>SUM(A46:A48)*-B50</f>
        <v>-195.5</v>
      </c>
      <c r="B50" s="23">
        <v>0.2</v>
      </c>
      <c r="C50" s="20" t="s">
        <v>81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25">
      <c r="A51" s="22">
        <f>SUM(A45:A50)</f>
        <v>-367.99999999999983</v>
      </c>
      <c r="B51" s="22" t="s">
        <v>97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x14ac:dyDescent="0.25">
      <c r="A53" s="22" t="s">
        <v>82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25">
      <c r="A54" s="11">
        <v>26755.966666666664</v>
      </c>
      <c r="B54" s="11" t="s">
        <v>84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25">
      <c r="A55" s="11">
        <v>30867.266666666666</v>
      </c>
      <c r="B55" s="11" t="s">
        <v>85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x14ac:dyDescent="0.25">
      <c r="A56" s="11"/>
      <c r="B56" s="11"/>
      <c r="C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x14ac:dyDescent="0.25">
      <c r="A57" s="22" t="s">
        <v>86</v>
      </c>
      <c r="B57" s="11"/>
      <c r="C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x14ac:dyDescent="0.25">
      <c r="A58" s="11">
        <f>2*Sheet1!B46</f>
        <v>62127.54</v>
      </c>
      <c r="B58" s="11" t="s">
        <v>87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x14ac:dyDescent="0.25">
      <c r="A59" s="11">
        <f>2*(Sheet1!B47-E59)</f>
        <v>19920</v>
      </c>
      <c r="C59" s="11" t="s">
        <v>91</v>
      </c>
      <c r="D59" s="11"/>
      <c r="E59" s="11">
        <v>1000</v>
      </c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25">
      <c r="A60" s="11">
        <v>1170</v>
      </c>
      <c r="B60" s="11" t="s">
        <v>88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25">
      <c r="A62" s="11">
        <v>267304</v>
      </c>
      <c r="B62" s="11" t="s">
        <v>94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x14ac:dyDescent="0.25">
      <c r="A63" s="11">
        <f>A18+A62</f>
        <v>47304.000000000029</v>
      </c>
      <c r="B63" s="11" t="s">
        <v>95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6.5" thickBot="1" x14ac:dyDescent="0.3">
      <c r="A64" s="20">
        <f>2*B64</f>
        <v>0</v>
      </c>
      <c r="B64" s="20">
        <v>0</v>
      </c>
      <c r="C64" s="11" t="s">
        <v>96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x14ac:dyDescent="0.25">
      <c r="A65" s="22">
        <f>A63+A64</f>
        <v>47304.000000000029</v>
      </c>
      <c r="B65" s="22" t="s">
        <v>98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x14ac:dyDescent="0.25">
      <c r="A66" s="22"/>
      <c r="B66" s="22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x14ac:dyDescent="0.25">
      <c r="A67" s="11">
        <f>-A62</f>
        <v>-267304</v>
      </c>
      <c r="B67" s="11" t="s">
        <v>99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x14ac:dyDescent="0.25">
      <c r="A68" s="11">
        <f>SUM(A54:A55)</f>
        <v>57623.23333333333</v>
      </c>
      <c r="B68" s="11" t="s">
        <v>100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6.5" thickBot="1" x14ac:dyDescent="0.3">
      <c r="A69" s="20" t="e">
        <f>#REF!</f>
        <v>#REF!</v>
      </c>
      <c r="B69" s="20" t="s">
        <v>83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x14ac:dyDescent="0.25">
      <c r="A70" s="22" t="e">
        <f>SUM(A67:A69)</f>
        <v>#REF!</v>
      </c>
      <c r="B70" s="22" t="s">
        <v>101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x14ac:dyDescent="0.25">
      <c r="A71" s="22"/>
      <c r="B71" s="22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x14ac:dyDescent="0.25">
      <c r="A72" s="11" t="s">
        <v>113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x14ac:dyDescent="0.25">
      <c r="A74" s="22" t="s">
        <v>102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x14ac:dyDescent="0.25">
      <c r="A75" s="11">
        <f>-B75/12</f>
        <v>-12.5</v>
      </c>
      <c r="B75" s="11">
        <v>150</v>
      </c>
      <c r="C75" s="11" t="s">
        <v>93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25">
      <c r="A76" s="11">
        <v>-100</v>
      </c>
      <c r="B76" s="11"/>
      <c r="C76" s="11" t="s">
        <v>112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x14ac:dyDescent="0.25">
      <c r="A77" s="11">
        <f>-B77*A78</f>
        <v>-125</v>
      </c>
      <c r="B77" s="6">
        <v>0.1</v>
      </c>
      <c r="C77" s="11" t="s">
        <v>92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x14ac:dyDescent="0.25">
      <c r="A78" s="11">
        <f>B78</f>
        <v>1250</v>
      </c>
      <c r="B78" s="11">
        <v>1250</v>
      </c>
      <c r="C78" s="11" t="s">
        <v>61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x14ac:dyDescent="0.25">
      <c r="A79" s="11" t="e">
        <f>A70*B79/12</f>
        <v>#REF!</v>
      </c>
      <c r="B79" s="6">
        <v>0.02</v>
      </c>
      <c r="C79" s="11" t="s">
        <v>103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6.5" thickBot="1" x14ac:dyDescent="0.3">
      <c r="A80" s="20">
        <f>SUM(A75:A78)*-B80</f>
        <v>-202.5</v>
      </c>
      <c r="B80" s="23">
        <v>0.2</v>
      </c>
      <c r="C80" s="20" t="s">
        <v>81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x14ac:dyDescent="0.25">
      <c r="A81" s="22" t="e">
        <f>SUM(A71:A80)</f>
        <v>#REF!</v>
      </c>
      <c r="B81" s="22" t="s">
        <v>104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x14ac:dyDescent="0.25">
      <c r="A82" s="11">
        <f>SUM(Sheet1!C31:C32)/12</f>
        <v>1545.6584</v>
      </c>
      <c r="B82" s="11" t="s">
        <v>105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x14ac:dyDescent="0.25">
      <c r="A83" s="11">
        <f>SUM(Sheet1!B31:B32)/12*(1-B80)</f>
        <v>4526.82672</v>
      </c>
      <c r="B83" s="11" t="s">
        <v>106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x14ac:dyDescent="0.25">
      <c r="A84" s="11">
        <f>((2*(E59+24*250))+(A58-A64))*B84/12</f>
        <v>95.159424999999999</v>
      </c>
      <c r="B84" s="6">
        <v>1.4999999999999999E-2</v>
      </c>
      <c r="C84" s="11" t="s">
        <v>110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6.5" thickBot="1" x14ac:dyDescent="0.3">
      <c r="A85" s="20">
        <f>(1-B80)*B85/12</f>
        <v>93.333333333333329</v>
      </c>
      <c r="B85" s="20">
        <v>1400</v>
      </c>
      <c r="C85" s="20" t="s">
        <v>111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x14ac:dyDescent="0.25">
      <c r="A86" s="22" t="e">
        <f>SUM(A81:A85)</f>
        <v>#REF!</v>
      </c>
      <c r="B86" s="22" t="s">
        <v>107</v>
      </c>
      <c r="C86" s="11"/>
      <c r="D86" s="11"/>
      <c r="E86" s="11"/>
      <c r="F86" s="11"/>
      <c r="G86" s="11"/>
      <c r="H86" s="11"/>
      <c r="J86" s="11"/>
      <c r="K86" s="11"/>
      <c r="L86" s="11"/>
      <c r="M86" s="11"/>
      <c r="N86" s="11"/>
    </row>
    <row r="87" spans="1:14" x14ac:dyDescent="0.25">
      <c r="D87" s="11"/>
      <c r="E87" s="11"/>
    </row>
    <row r="88" spans="1:14" x14ac:dyDescent="0.25">
      <c r="A88">
        <f>(1789.7+2545.04+2336.51+1440.99)</f>
        <v>8112.24</v>
      </c>
      <c r="B88" t="s">
        <v>108</v>
      </c>
      <c r="D88" s="11"/>
      <c r="E88" s="11"/>
    </row>
    <row r="89" spans="1:14" x14ac:dyDescent="0.25">
      <c r="A89" s="11" t="e">
        <f>A86-A88</f>
        <v>#REF!</v>
      </c>
      <c r="B89" t="s">
        <v>109</v>
      </c>
    </row>
    <row r="93" spans="1:14" x14ac:dyDescent="0.25">
      <c r="A93" t="s">
        <v>71</v>
      </c>
      <c r="B93" t="s">
        <v>122</v>
      </c>
      <c r="C93">
        <v>3901011738</v>
      </c>
      <c r="D93" s="4" t="s">
        <v>123</v>
      </c>
      <c r="E93" s="27">
        <v>65028.95</v>
      </c>
    </row>
    <row r="94" spans="1:14" x14ac:dyDescent="0.25">
      <c r="A94" t="s">
        <v>70</v>
      </c>
      <c r="B94" t="s">
        <v>122</v>
      </c>
      <c r="C94">
        <v>3901011716</v>
      </c>
      <c r="D94" s="4" t="s">
        <v>123</v>
      </c>
      <c r="E94" s="27">
        <v>32787.64</v>
      </c>
    </row>
    <row r="95" spans="1:14" x14ac:dyDescent="0.25">
      <c r="A95" t="s">
        <v>124</v>
      </c>
      <c r="B95" t="s">
        <v>122</v>
      </c>
      <c r="C95" s="28">
        <v>923763564</v>
      </c>
      <c r="D95" t="s">
        <v>125</v>
      </c>
      <c r="E95" s="29">
        <v>22030.11</v>
      </c>
    </row>
    <row r="96" spans="1:14" x14ac:dyDescent="0.25">
      <c r="A96" t="s">
        <v>126</v>
      </c>
      <c r="B96" t="s">
        <v>122</v>
      </c>
      <c r="C96" s="30">
        <v>20689470</v>
      </c>
      <c r="D96" s="4" t="s">
        <v>127</v>
      </c>
      <c r="E96" s="29">
        <v>25709.38</v>
      </c>
    </row>
    <row r="97" spans="1:7" x14ac:dyDescent="0.25">
      <c r="A97" t="s">
        <v>128</v>
      </c>
      <c r="B97" t="s">
        <v>122</v>
      </c>
      <c r="C97" s="30">
        <v>20689489</v>
      </c>
      <c r="D97" s="4" t="s">
        <v>127</v>
      </c>
      <c r="E97" s="29">
        <v>37550.870000000003</v>
      </c>
    </row>
    <row r="98" spans="1:7" x14ac:dyDescent="0.25">
      <c r="A98" t="s">
        <v>128</v>
      </c>
      <c r="B98" t="s">
        <v>118</v>
      </c>
      <c r="C98" s="28">
        <v>22246088</v>
      </c>
      <c r="D98" s="4" t="s">
        <v>127</v>
      </c>
      <c r="E98" s="29">
        <v>11127.95</v>
      </c>
    </row>
    <row r="100" spans="1:7" ht="15.75" customHeight="1" x14ac:dyDescent="0.25">
      <c r="A100" s="31" t="s">
        <v>160</v>
      </c>
      <c r="B100" s="31"/>
      <c r="C100" s="31"/>
      <c r="D100" s="31"/>
      <c r="E100" s="31"/>
    </row>
    <row r="101" spans="1:7" x14ac:dyDescent="0.25">
      <c r="A101" s="31"/>
      <c r="B101" s="31"/>
      <c r="C101" s="31"/>
      <c r="D101" s="31"/>
      <c r="E101" s="31"/>
    </row>
    <row r="102" spans="1:7" x14ac:dyDescent="0.25">
      <c r="A102" s="31"/>
      <c r="B102" s="31"/>
      <c r="C102" s="31"/>
      <c r="D102" s="31"/>
      <c r="E102" s="31"/>
    </row>
    <row r="103" spans="1:7" x14ac:dyDescent="0.25">
      <c r="A103" s="31"/>
      <c r="B103" s="31"/>
      <c r="C103" s="31"/>
      <c r="D103" s="31"/>
      <c r="E103" s="31"/>
    </row>
    <row r="104" spans="1:7" x14ac:dyDescent="0.25">
      <c r="A104" s="31"/>
      <c r="B104" s="31"/>
      <c r="C104" s="31"/>
      <c r="D104" s="31"/>
      <c r="E104" s="31"/>
    </row>
    <row r="105" spans="1:7" x14ac:dyDescent="0.25">
      <c r="A105" s="31"/>
      <c r="B105" s="31"/>
      <c r="C105" s="31"/>
      <c r="D105" s="31"/>
      <c r="E105" s="31"/>
    </row>
    <row r="106" spans="1:7" x14ac:dyDescent="0.25">
      <c r="A106" s="31"/>
      <c r="B106" s="31"/>
      <c r="C106" s="31"/>
      <c r="D106" s="31"/>
      <c r="E106" s="31"/>
    </row>
    <row r="107" spans="1:7" x14ac:dyDescent="0.25">
      <c r="A107" s="26"/>
      <c r="B107" s="26"/>
      <c r="C107" s="26"/>
      <c r="D107" s="26"/>
      <c r="E107" s="26"/>
    </row>
    <row r="108" spans="1:7" x14ac:dyDescent="0.25">
      <c r="A108" s="26" t="s">
        <v>118</v>
      </c>
      <c r="B108">
        <v>300000</v>
      </c>
      <c r="C108" s="26"/>
      <c r="D108" s="26"/>
      <c r="E108" s="26" t="s">
        <v>167</v>
      </c>
      <c r="F108" t="s">
        <v>179</v>
      </c>
    </row>
    <row r="109" spans="1:7" x14ac:dyDescent="0.25">
      <c r="A109" t="s">
        <v>25</v>
      </c>
      <c r="B109">
        <v>385000</v>
      </c>
      <c r="D109" t="s">
        <v>172</v>
      </c>
      <c r="E109" s="6">
        <v>0.03</v>
      </c>
      <c r="F109" s="6">
        <v>2.2499999999999999E-2</v>
      </c>
      <c r="G109" s="6">
        <f>E109+0.5%</f>
        <v>3.4999999999999996E-2</v>
      </c>
    </row>
    <row r="110" spans="1:7" x14ac:dyDescent="0.25">
      <c r="A110" s="6">
        <f>vanilla</f>
        <v>4.8500000000000001E-2</v>
      </c>
      <c r="B110" t="s">
        <v>161</v>
      </c>
      <c r="D110" s="11" t="s">
        <v>134</v>
      </c>
      <c r="E110" s="6">
        <v>0.04</v>
      </c>
      <c r="F110" s="6">
        <v>3.5000000000000003E-2</v>
      </c>
      <c r="G110" s="6">
        <f t="shared" ref="G110:G111" si="1">E110+0.5%</f>
        <v>4.4999999999999998E-2</v>
      </c>
    </row>
    <row r="111" spans="1:7" x14ac:dyDescent="0.25">
      <c r="A111" s="6">
        <f>offset</f>
        <v>5.7104838709677412E-2</v>
      </c>
      <c r="B111" t="s">
        <v>162</v>
      </c>
      <c r="D111" s="11" t="s">
        <v>135</v>
      </c>
      <c r="E111" s="6">
        <v>4.36E-2</v>
      </c>
      <c r="F111" s="6">
        <v>3.8600000000000002E-2</v>
      </c>
      <c r="G111" s="6">
        <f t="shared" si="1"/>
        <v>4.8599999999999997E-2</v>
      </c>
    </row>
    <row r="112" spans="1:7" x14ac:dyDescent="0.25">
      <c r="D112" s="11" t="s">
        <v>146</v>
      </c>
      <c r="E112" s="6">
        <v>5.0000000000000001E-3</v>
      </c>
      <c r="F112" s="6">
        <v>5.0000000000000001E-3</v>
      </c>
    </row>
    <row r="113" spans="1:22" x14ac:dyDescent="0.25">
      <c r="D113" s="11" t="s">
        <v>136</v>
      </c>
      <c r="E113" s="6">
        <v>8.5000000000000006E-3</v>
      </c>
      <c r="F113" s="6">
        <v>8.5000000000000006E-3</v>
      </c>
    </row>
    <row r="114" spans="1:22" x14ac:dyDescent="0.25">
      <c r="B114" s="6"/>
      <c r="D114" s="11" t="s">
        <v>180</v>
      </c>
      <c r="E114" s="6">
        <f>E110+E113</f>
        <v>4.8500000000000001E-2</v>
      </c>
      <c r="F114" s="6">
        <f>F110+F113</f>
        <v>4.3500000000000004E-2</v>
      </c>
    </row>
    <row r="115" spans="1:22" x14ac:dyDescent="0.25">
      <c r="B115" s="6"/>
      <c r="D115" s="11" t="s">
        <v>183</v>
      </c>
      <c r="I115" s="45"/>
      <c r="J115" s="45"/>
      <c r="K115" s="49"/>
    </row>
    <row r="116" spans="1:22" x14ac:dyDescent="0.25">
      <c r="B116" s="6"/>
      <c r="D116" s="11" t="s">
        <v>184</v>
      </c>
      <c r="E116" s="6">
        <f>E111+E113</f>
        <v>5.21E-2</v>
      </c>
      <c r="F116" s="6">
        <f>F111+F113</f>
        <v>4.7100000000000003E-2</v>
      </c>
      <c r="G116" s="6"/>
      <c r="I116" s="45"/>
      <c r="J116" s="49"/>
      <c r="K116" s="49"/>
      <c r="N116" s="50"/>
      <c r="O116" s="50"/>
      <c r="P116" s="50"/>
    </row>
    <row r="117" spans="1:22" ht="16.5" thickBot="1" x14ac:dyDescent="0.3">
      <c r="B117" s="6"/>
      <c r="D117" s="11" t="s">
        <v>185</v>
      </c>
      <c r="E117" s="6">
        <f>E116+E112</f>
        <v>5.7099999999999998E-2</v>
      </c>
      <c r="F117" s="6">
        <f>F116+F112</f>
        <v>5.21E-2</v>
      </c>
      <c r="G117" s="6"/>
      <c r="I117" s="45"/>
      <c r="J117" s="49"/>
      <c r="K117" s="49"/>
      <c r="N117" s="52"/>
      <c r="O117" s="52"/>
      <c r="P117" s="52"/>
    </row>
    <row r="118" spans="1:22" ht="16.5" thickTop="1" x14ac:dyDescent="0.25">
      <c r="B118" s="6"/>
      <c r="D118" s="11"/>
      <c r="I118" s="34" t="s">
        <v>167</v>
      </c>
      <c r="J118" s="44"/>
      <c r="K118" s="35"/>
      <c r="N118" s="34" t="s">
        <v>179</v>
      </c>
      <c r="O118" s="44"/>
      <c r="P118" s="35"/>
    </row>
    <row r="119" spans="1:22" x14ac:dyDescent="0.25">
      <c r="A119" s="2" t="s">
        <v>164</v>
      </c>
      <c r="B119" s="6"/>
      <c r="D119" t="s">
        <v>165</v>
      </c>
      <c r="E119" t="s">
        <v>166</v>
      </c>
      <c r="F119" t="s">
        <v>99</v>
      </c>
      <c r="I119" s="36" t="s">
        <v>171</v>
      </c>
      <c r="J119" s="45" t="s">
        <v>168</v>
      </c>
      <c r="K119" s="37" t="s">
        <v>169</v>
      </c>
      <c r="L119" t="s">
        <v>173</v>
      </c>
      <c r="M119" t="s">
        <v>189</v>
      </c>
      <c r="N119" s="36" t="s">
        <v>171</v>
      </c>
      <c r="O119" s="45" t="s">
        <v>168</v>
      </c>
      <c r="P119" s="37" t="s">
        <v>169</v>
      </c>
      <c r="Q119" t="s">
        <v>174</v>
      </c>
      <c r="R119" t="s">
        <v>175</v>
      </c>
      <c r="S119" t="s">
        <v>170</v>
      </c>
      <c r="T119" t="s">
        <v>176</v>
      </c>
      <c r="U119" t="s">
        <v>178</v>
      </c>
      <c r="V119" t="s">
        <v>177</v>
      </c>
    </row>
    <row r="120" spans="1:22" x14ac:dyDescent="0.25">
      <c r="A120" s="2" t="s">
        <v>181</v>
      </c>
      <c r="B120" s="6"/>
      <c r="D120" s="11">
        <v>300000</v>
      </c>
      <c r="E120">
        <v>0</v>
      </c>
      <c r="F120">
        <v>0</v>
      </c>
      <c r="I120" s="42">
        <f>E109</f>
        <v>0.03</v>
      </c>
      <c r="J120" s="45">
        <v>0</v>
      </c>
      <c r="K120" s="38">
        <f>D120*$E$109</f>
        <v>9000</v>
      </c>
      <c r="L120" s="11">
        <v>80000</v>
      </c>
      <c r="M120">
        <v>0</v>
      </c>
      <c r="N120" s="42">
        <f>F109</f>
        <v>2.2499999999999999E-2</v>
      </c>
      <c r="O120" s="46">
        <f>(F120+L120)*N120</f>
        <v>1800</v>
      </c>
      <c r="P120" s="38">
        <f>D120*F$109</f>
        <v>6750</v>
      </c>
      <c r="Q120" s="11">
        <f>J120+O120+K120+P120</f>
        <v>17550</v>
      </c>
      <c r="R120" s="11">
        <f>L120</f>
        <v>80000</v>
      </c>
      <c r="S120" s="11">
        <f>R120+Q120</f>
        <v>97550</v>
      </c>
      <c r="T120" s="11">
        <f>D120+S120</f>
        <v>397550</v>
      </c>
      <c r="U120" s="11">
        <v>350000</v>
      </c>
      <c r="V120" s="11">
        <f>T120+U120</f>
        <v>747550</v>
      </c>
    </row>
    <row r="121" spans="1:22" x14ac:dyDescent="0.25">
      <c r="B121" s="6"/>
      <c r="D121" s="11">
        <f>B$108+E121</f>
        <v>135000</v>
      </c>
      <c r="E121" s="11">
        <v>-165000</v>
      </c>
      <c r="F121" s="11">
        <f>-(B$109+E121)</f>
        <v>-220000</v>
      </c>
      <c r="G121" s="11"/>
      <c r="I121" s="42">
        <f t="shared" ref="I121:I123" si="2">E$114</f>
        <v>4.8500000000000001E-2</v>
      </c>
      <c r="J121" s="46">
        <f>I121*F121</f>
        <v>-10670</v>
      </c>
      <c r="K121" s="38">
        <f>D121*$E$109</f>
        <v>4050</v>
      </c>
      <c r="L121" s="11">
        <v>80000</v>
      </c>
      <c r="M121">
        <v>0</v>
      </c>
      <c r="N121" s="42">
        <f t="shared" ref="N121:N122" si="3">F$114</f>
        <v>4.3500000000000004E-2</v>
      </c>
      <c r="O121" s="46">
        <f>(F121+L121)*N121</f>
        <v>-6090.0000000000009</v>
      </c>
      <c r="P121" s="38">
        <f t="shared" ref="P121:P124" si="4">D121*F$109</f>
        <v>3037.5</v>
      </c>
      <c r="Q121" s="11">
        <f>J121+O121+K121+P121</f>
        <v>-9672.5</v>
      </c>
      <c r="R121" s="11">
        <f>F121+L121</f>
        <v>-140000</v>
      </c>
      <c r="S121" s="11">
        <f>R121+Q121</f>
        <v>-149672.5</v>
      </c>
      <c r="T121" s="11">
        <f>D121+S121</f>
        <v>-14672.5</v>
      </c>
      <c r="U121" s="11">
        <v>350000</v>
      </c>
      <c r="V121" s="11">
        <f>T121+A$4+U121</f>
        <v>685327.5</v>
      </c>
    </row>
    <row r="122" spans="1:22" x14ac:dyDescent="0.25">
      <c r="B122" s="6"/>
      <c r="D122" s="11">
        <f>B$108+E122</f>
        <v>115000</v>
      </c>
      <c r="E122" s="11">
        <v>-185000</v>
      </c>
      <c r="F122" s="11">
        <f>-(B$109+E122)</f>
        <v>-200000</v>
      </c>
      <c r="G122" s="11"/>
      <c r="I122" s="42">
        <f t="shared" si="2"/>
        <v>4.8500000000000001E-2</v>
      </c>
      <c r="J122" s="46">
        <f>I122*F122</f>
        <v>-9700</v>
      </c>
      <c r="K122" s="38">
        <f>D122*$E$109</f>
        <v>3450</v>
      </c>
      <c r="L122" s="11">
        <v>80000</v>
      </c>
      <c r="M122">
        <v>0</v>
      </c>
      <c r="N122" s="42">
        <f t="shared" si="3"/>
        <v>4.3500000000000004E-2</v>
      </c>
      <c r="O122" s="46">
        <f t="shared" ref="O122:O124" si="5">(F122+L122)*N122</f>
        <v>-5220.0000000000009</v>
      </c>
      <c r="P122" s="38">
        <f t="shared" si="4"/>
        <v>2587.5</v>
      </c>
      <c r="Q122" s="11">
        <f>J122+O122+K122+P122</f>
        <v>-8882.5</v>
      </c>
      <c r="R122" s="11">
        <f t="shared" ref="R122:R124" si="6">F122+L122</f>
        <v>-120000</v>
      </c>
      <c r="S122" s="11">
        <f>R122+Q122</f>
        <v>-128882.5</v>
      </c>
      <c r="T122" s="11">
        <f>D122+S122</f>
        <v>-13882.5</v>
      </c>
      <c r="U122" s="11">
        <v>350000</v>
      </c>
      <c r="V122" s="11">
        <f>T122+A$4+U122</f>
        <v>686117.5</v>
      </c>
    </row>
    <row r="123" spans="1:22" x14ac:dyDescent="0.25">
      <c r="B123" s="6"/>
      <c r="D123" s="11">
        <f>B$108+E123</f>
        <v>100000</v>
      </c>
      <c r="E123" s="11">
        <v>-200000</v>
      </c>
      <c r="F123" s="11">
        <f>-(B$109+E123)</f>
        <v>-185000</v>
      </c>
      <c r="G123" s="11"/>
      <c r="I123" s="42">
        <f t="shared" si="2"/>
        <v>4.8500000000000001E-2</v>
      </c>
      <c r="J123" s="46">
        <f>I123*F123</f>
        <v>-8972.5</v>
      </c>
      <c r="K123" s="38">
        <f>D123*E$109</f>
        <v>3000</v>
      </c>
      <c r="L123" s="11">
        <v>80000</v>
      </c>
      <c r="M123">
        <v>0</v>
      </c>
      <c r="N123" s="42">
        <f>F114</f>
        <v>4.3500000000000004E-2</v>
      </c>
      <c r="O123" s="46">
        <f t="shared" si="5"/>
        <v>-4567.5</v>
      </c>
      <c r="P123" s="38">
        <f t="shared" si="4"/>
        <v>2250</v>
      </c>
      <c r="Q123" s="11">
        <f>J123+O123+K123+P123</f>
        <v>-8290</v>
      </c>
      <c r="R123" s="11">
        <f t="shared" si="6"/>
        <v>-105000</v>
      </c>
      <c r="S123" s="11">
        <f>R123+Q123</f>
        <v>-113290</v>
      </c>
      <c r="T123" s="11">
        <f>D123+S123</f>
        <v>-13290</v>
      </c>
      <c r="U123" s="11">
        <v>350000</v>
      </c>
      <c r="V123" s="11">
        <f>T123+A$4+U123</f>
        <v>686710</v>
      </c>
    </row>
    <row r="124" spans="1:22" ht="16.5" thickBot="1" x14ac:dyDescent="0.3">
      <c r="B124" s="6"/>
      <c r="D124" s="11">
        <f>B$108+E124</f>
        <v>0</v>
      </c>
      <c r="E124" s="11">
        <v>-300000</v>
      </c>
      <c r="F124" s="11">
        <f>-(B$109+E124)</f>
        <v>-85000</v>
      </c>
      <c r="G124" s="11"/>
      <c r="I124" s="43">
        <f>E$114</f>
        <v>4.8500000000000001E-2</v>
      </c>
      <c r="J124" s="47">
        <f>I124*F124</f>
        <v>-4122.5</v>
      </c>
      <c r="K124" s="39">
        <f>D124*E$109</f>
        <v>0</v>
      </c>
      <c r="L124" s="11">
        <v>80000</v>
      </c>
      <c r="M124">
        <v>0</v>
      </c>
      <c r="N124" s="43">
        <f>F$114</f>
        <v>4.3500000000000004E-2</v>
      </c>
      <c r="O124" s="47">
        <f t="shared" si="5"/>
        <v>-217.50000000000003</v>
      </c>
      <c r="P124" s="39">
        <f t="shared" si="4"/>
        <v>0</v>
      </c>
      <c r="Q124" s="11">
        <f>J124+O124+K124+P124</f>
        <v>-4340</v>
      </c>
      <c r="R124" s="11">
        <f t="shared" si="6"/>
        <v>-5000</v>
      </c>
      <c r="S124" s="11">
        <f>R124+Q124</f>
        <v>-9340</v>
      </c>
      <c r="T124" s="11">
        <f>D124+S124</f>
        <v>-9340</v>
      </c>
      <c r="U124" s="11">
        <v>350000</v>
      </c>
      <c r="V124" s="11">
        <f>T124+A$4+U124</f>
        <v>690660</v>
      </c>
    </row>
    <row r="125" spans="1:22" ht="17.25" thickTop="1" thickBot="1" x14ac:dyDescent="0.3">
      <c r="B125" s="6"/>
      <c r="D125" s="11"/>
    </row>
    <row r="126" spans="1:22" ht="16.5" thickTop="1" x14ac:dyDescent="0.25">
      <c r="A126" s="2" t="s">
        <v>182</v>
      </c>
      <c r="B126" s="6"/>
      <c r="D126" t="s">
        <v>165</v>
      </c>
      <c r="E126" t="s">
        <v>166</v>
      </c>
      <c r="F126" t="s">
        <v>99</v>
      </c>
      <c r="G126" t="s">
        <v>186</v>
      </c>
      <c r="H126" t="s">
        <v>189</v>
      </c>
      <c r="I126" s="40" t="s">
        <v>171</v>
      </c>
      <c r="J126" s="51" t="s">
        <v>190</v>
      </c>
      <c r="K126" s="41" t="s">
        <v>169</v>
      </c>
      <c r="L126" t="s">
        <v>173</v>
      </c>
      <c r="M126" t="s">
        <v>189</v>
      </c>
      <c r="N126" s="40" t="s">
        <v>171</v>
      </c>
      <c r="O126" s="51" t="s">
        <v>168</v>
      </c>
      <c r="P126" s="41" t="s">
        <v>169</v>
      </c>
      <c r="Q126" t="s">
        <v>174</v>
      </c>
      <c r="R126" t="s">
        <v>175</v>
      </c>
      <c r="S126" t="s">
        <v>170</v>
      </c>
      <c r="T126" t="s">
        <v>176</v>
      </c>
      <c r="U126" t="s">
        <v>178</v>
      </c>
      <c r="V126" t="s">
        <v>177</v>
      </c>
    </row>
    <row r="127" spans="1:22" x14ac:dyDescent="0.25">
      <c r="C127" s="11"/>
      <c r="D127" s="11">
        <f>B$108+(E127-G127)</f>
        <v>90000</v>
      </c>
      <c r="E127" s="11">
        <v>-125000</v>
      </c>
      <c r="F127" s="11">
        <f>-H127-(B$109+E127)</f>
        <v>-180000</v>
      </c>
      <c r="G127" s="11">
        <v>85000</v>
      </c>
      <c r="H127" s="11">
        <v>-80000</v>
      </c>
      <c r="I127" s="42">
        <f>E$116</f>
        <v>5.21E-2</v>
      </c>
      <c r="J127" s="46">
        <f>(I127*F127)+(H127*(I127+E$112))</f>
        <v>-13946</v>
      </c>
      <c r="K127" s="38">
        <f>D127*$E$109</f>
        <v>2700</v>
      </c>
      <c r="L127" s="11">
        <v>80000</v>
      </c>
      <c r="M127" s="11">
        <f>H127+L127</f>
        <v>0</v>
      </c>
      <c r="N127" s="42">
        <f>F$116</f>
        <v>4.7100000000000003E-2</v>
      </c>
      <c r="O127" s="46">
        <f>(F127*N127)+M127*(N127+F$112)</f>
        <v>-8478</v>
      </c>
      <c r="P127" s="38">
        <f>D127*F$109</f>
        <v>2025</v>
      </c>
      <c r="Q127" s="11">
        <f>J127+O127+K127+P127</f>
        <v>-17699</v>
      </c>
      <c r="R127" s="11">
        <f>F127</f>
        <v>-180000</v>
      </c>
      <c r="S127" s="11">
        <f>R127+Q127</f>
        <v>-197699</v>
      </c>
      <c r="T127" s="11">
        <f>D127+S127+(G127+M127)</f>
        <v>-22699</v>
      </c>
      <c r="U127" s="11">
        <v>350000</v>
      </c>
      <c r="V127" s="11">
        <f>T127+A$4+U127</f>
        <v>677301</v>
      </c>
    </row>
    <row r="128" spans="1:22" x14ac:dyDescent="0.25">
      <c r="C128" s="11"/>
      <c r="D128" s="11">
        <f>B$108+(E128-G128)</f>
        <v>65000</v>
      </c>
      <c r="E128" s="11">
        <v>-150000</v>
      </c>
      <c r="F128" s="11">
        <f t="shared" ref="F128:F130" si="7">-H128-(B$109+E128)</f>
        <v>-155000</v>
      </c>
      <c r="G128" s="11">
        <v>85000</v>
      </c>
      <c r="H128" s="11">
        <v>-80000</v>
      </c>
      <c r="I128" s="42">
        <f t="shared" ref="I128:I130" si="8">E$116</f>
        <v>5.21E-2</v>
      </c>
      <c r="J128" s="46">
        <f t="shared" ref="J128:J130" si="9">(I128*F128)+(H128*(I128+E$112))</f>
        <v>-12643.5</v>
      </c>
      <c r="K128" s="38">
        <f>D128*$E$109</f>
        <v>1950</v>
      </c>
      <c r="L128" s="11">
        <v>80000</v>
      </c>
      <c r="M128" s="11">
        <f t="shared" ref="M128:M130" si="10">H128+L128</f>
        <v>0</v>
      </c>
      <c r="N128" s="42">
        <f t="shared" ref="N128:N130" si="11">F$116</f>
        <v>4.7100000000000003E-2</v>
      </c>
      <c r="O128" s="46">
        <f t="shared" ref="O128:O129" si="12">(F128*N128)+M128*(N128+F$112)</f>
        <v>-7300.5000000000009</v>
      </c>
      <c r="P128" s="38">
        <f t="shared" ref="P128:P130" si="13">D128*F$109</f>
        <v>1462.5</v>
      </c>
      <c r="Q128" s="11">
        <f>J128+O128+K128+P128</f>
        <v>-16531.5</v>
      </c>
      <c r="R128" s="11">
        <f>F128</f>
        <v>-155000</v>
      </c>
      <c r="S128" s="11">
        <f>R128+Q128</f>
        <v>-171531.5</v>
      </c>
      <c r="T128" s="11">
        <f t="shared" ref="T128:T130" si="14">D128+S128+(G128+M128)</f>
        <v>-21531.5</v>
      </c>
      <c r="U128" s="11">
        <v>350000</v>
      </c>
      <c r="V128" s="11">
        <f>T128+A$4+U128</f>
        <v>678468.5</v>
      </c>
    </row>
    <row r="129" spans="1:22" x14ac:dyDescent="0.25">
      <c r="C129" s="11"/>
      <c r="D129" s="11">
        <f>B$108+(E129-G129)</f>
        <v>30000</v>
      </c>
      <c r="E129" s="11">
        <v>-185000</v>
      </c>
      <c r="F129" s="11">
        <f t="shared" si="7"/>
        <v>-120000</v>
      </c>
      <c r="G129" s="11">
        <v>85000</v>
      </c>
      <c r="H129" s="11">
        <v>-80000</v>
      </c>
      <c r="I129" s="42">
        <f t="shared" si="8"/>
        <v>5.21E-2</v>
      </c>
      <c r="J129" s="46">
        <f t="shared" si="9"/>
        <v>-10820</v>
      </c>
      <c r="K129" s="38">
        <f>D129*$E$109</f>
        <v>900</v>
      </c>
      <c r="L129" s="11">
        <v>80000</v>
      </c>
      <c r="M129" s="11">
        <f t="shared" si="10"/>
        <v>0</v>
      </c>
      <c r="N129" s="42">
        <f t="shared" si="11"/>
        <v>4.7100000000000003E-2</v>
      </c>
      <c r="O129" s="46">
        <f t="shared" si="12"/>
        <v>-5652</v>
      </c>
      <c r="P129" s="38">
        <f t="shared" si="13"/>
        <v>675</v>
      </c>
      <c r="Q129" s="11">
        <f t="shared" ref="Q129:Q130" si="15">J129+O129+K129+P129</f>
        <v>-14897</v>
      </c>
      <c r="R129" s="11">
        <f>F129</f>
        <v>-120000</v>
      </c>
      <c r="S129" s="11">
        <f t="shared" ref="S129:S130" si="16">R129+Q129</f>
        <v>-134897</v>
      </c>
      <c r="T129" s="11">
        <f t="shared" si="14"/>
        <v>-19897</v>
      </c>
      <c r="U129" s="11">
        <v>350000</v>
      </c>
      <c r="V129" s="11">
        <f>T129+A$4+U129</f>
        <v>680103</v>
      </c>
    </row>
    <row r="130" spans="1:22" ht="16.5" thickBot="1" x14ac:dyDescent="0.3">
      <c r="D130" s="11">
        <f>B$108+(E130-G130)</f>
        <v>15000</v>
      </c>
      <c r="E130" s="11">
        <v>-200000</v>
      </c>
      <c r="F130" s="11">
        <f t="shared" si="7"/>
        <v>-105000</v>
      </c>
      <c r="G130" s="11">
        <v>85000</v>
      </c>
      <c r="H130" s="11">
        <v>-80000</v>
      </c>
      <c r="I130" s="43">
        <f t="shared" si="8"/>
        <v>5.21E-2</v>
      </c>
      <c r="J130" s="47">
        <f t="shared" si="9"/>
        <v>-10038.5</v>
      </c>
      <c r="K130" s="39">
        <f>D130*$E$109</f>
        <v>450</v>
      </c>
      <c r="L130" s="11">
        <v>80000</v>
      </c>
      <c r="M130" s="11">
        <f t="shared" si="10"/>
        <v>0</v>
      </c>
      <c r="N130" s="43">
        <f t="shared" si="11"/>
        <v>4.7100000000000003E-2</v>
      </c>
      <c r="O130" s="47">
        <f>(F130*N130)+M130*(N130+F$112)</f>
        <v>-4945.5</v>
      </c>
      <c r="P130" s="39">
        <f t="shared" si="13"/>
        <v>337.5</v>
      </c>
      <c r="Q130" s="11">
        <f t="shared" si="15"/>
        <v>-14196.5</v>
      </c>
      <c r="R130" s="11">
        <f>F130</f>
        <v>-105000</v>
      </c>
      <c r="S130" s="11">
        <f t="shared" si="16"/>
        <v>-119196.5</v>
      </c>
      <c r="T130" s="11">
        <f t="shared" si="14"/>
        <v>-19196.5</v>
      </c>
      <c r="U130" s="11">
        <v>350000</v>
      </c>
      <c r="V130" s="11">
        <f>T130+A$4+U130</f>
        <v>680803.5</v>
      </c>
    </row>
    <row r="131" spans="1:22" ht="16.5" thickTop="1" x14ac:dyDescent="0.25">
      <c r="D131" s="11"/>
      <c r="E131" s="11"/>
      <c r="F131" s="11"/>
      <c r="G131" s="11"/>
      <c r="H131" s="48"/>
      <c r="I131" s="46"/>
      <c r="J131" s="46"/>
      <c r="K131" s="11"/>
      <c r="M131" s="48"/>
      <c r="N131" s="46"/>
      <c r="O131" s="46"/>
      <c r="P131" s="11"/>
      <c r="Q131" s="11"/>
      <c r="R131" s="11"/>
      <c r="S131" s="11"/>
      <c r="T131" s="11"/>
      <c r="U131" s="11"/>
    </row>
    <row r="132" spans="1:22" x14ac:dyDescent="0.25">
      <c r="D132" s="11"/>
      <c r="E132" s="11"/>
      <c r="F132" s="11"/>
      <c r="G132" s="11"/>
      <c r="H132" s="48"/>
      <c r="I132" s="46"/>
      <c r="J132" s="46"/>
      <c r="K132" s="11"/>
      <c r="M132" s="48"/>
      <c r="N132" s="46"/>
      <c r="O132" s="46"/>
      <c r="P132" s="11"/>
      <c r="Q132" s="11"/>
      <c r="R132" s="11"/>
      <c r="S132" s="11"/>
      <c r="T132" s="11"/>
      <c r="U132" s="11"/>
    </row>
    <row r="133" spans="1:22" x14ac:dyDescent="0.25">
      <c r="D133" s="11"/>
      <c r="E133" s="11"/>
      <c r="F133" s="11"/>
      <c r="G133" s="48"/>
      <c r="H133" s="46"/>
      <c r="I133" s="46"/>
      <c r="J133" s="11"/>
      <c r="L133" s="48"/>
      <c r="M133" s="46"/>
      <c r="N133" s="46"/>
      <c r="O133" s="11"/>
      <c r="P133" s="11"/>
      <c r="Q133" s="11"/>
      <c r="R133" s="11"/>
      <c r="S133" s="11"/>
      <c r="T133" s="11"/>
      <c r="U133" t="s">
        <v>193</v>
      </c>
      <c r="V133" s="11">
        <f>V120-V122</f>
        <v>61432.5</v>
      </c>
    </row>
    <row r="134" spans="1:22" x14ac:dyDescent="0.25">
      <c r="A134" t="s">
        <v>197</v>
      </c>
      <c r="U134" t="s">
        <v>194</v>
      </c>
      <c r="V134" s="11">
        <f>V133/24</f>
        <v>2559.6875</v>
      </c>
    </row>
    <row r="135" spans="1:22" x14ac:dyDescent="0.25">
      <c r="A135" t="s">
        <v>158</v>
      </c>
      <c r="B135" t="s">
        <v>191</v>
      </c>
    </row>
    <row r="136" spans="1:22" x14ac:dyDescent="0.25">
      <c r="A136" t="s">
        <v>159</v>
      </c>
      <c r="B136" t="s">
        <v>195</v>
      </c>
    </row>
    <row r="137" spans="1:22" x14ac:dyDescent="0.25">
      <c r="A137" t="s">
        <v>188</v>
      </c>
      <c r="B137" t="s">
        <v>192</v>
      </c>
    </row>
    <row r="138" spans="1:22" x14ac:dyDescent="0.25">
      <c r="A138" t="s">
        <v>188</v>
      </c>
      <c r="B138" t="s">
        <v>196</v>
      </c>
    </row>
    <row r="139" spans="1:22" x14ac:dyDescent="0.25">
      <c r="A139" t="s">
        <v>187</v>
      </c>
      <c r="B139" t="s">
        <v>198</v>
      </c>
    </row>
  </sheetData>
  <mergeCells count="5">
    <mergeCell ref="A1:F1"/>
    <mergeCell ref="A2:F2"/>
    <mergeCell ref="A100:E106"/>
    <mergeCell ref="N118:P118"/>
    <mergeCell ref="I118:K118"/>
  </mergeCells>
  <pageMargins left="0.25" right="0.25" top="0.75" bottom="0.75" header="0.3" footer="0.3"/>
  <pageSetup paperSize="9" scale="64" fitToHeight="0" orientation="portrait" horizontalDpi="4294967293" verticalDpi="0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Sheet1</vt:lpstr>
      <vt:lpstr>Sheet2</vt:lpstr>
      <vt:lpstr>allowance</vt:lpstr>
      <vt:lpstr>avg_int</vt:lpstr>
      <vt:lpstr>defer</vt:lpstr>
      <vt:lpstr>mrate</vt:lpstr>
      <vt:lpstr>normal</vt:lpstr>
      <vt:lpstr>off_incr</vt:lpstr>
      <vt:lpstr>offset</vt:lpstr>
      <vt:lpstr>rate</vt:lpstr>
      <vt:lpstr>Sale_price</vt:lpstr>
      <vt:lpstr>state</vt:lpstr>
      <vt:lpstr>vanilla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THOMPSON Catharine</dc:creator>
  <cp:lastModifiedBy>Henry Thompson</cp:lastModifiedBy>
  <cp:lastPrinted>2025-09-02T21:59:32Z</cp:lastPrinted>
  <dcterms:created xsi:type="dcterms:W3CDTF">2019-01-28T16:05:11Z</dcterms:created>
  <dcterms:modified xsi:type="dcterms:W3CDTF">2025-09-10T12:21:45Z</dcterms:modified>
</cp:coreProperties>
</file>